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2.30\Planeacion\PLANEACION 2023\TRANSPARENCIA 2023\Fracción IV\AVANCE MIR Y ESTADISTICAS\4TO. TRIMESTRE\"/>
    </mc:Choice>
  </mc:AlternateContent>
  <bookViews>
    <workbookView xWindow="0" yWindow="0" windowWidth="21600" windowHeight="9720"/>
  </bookViews>
  <sheets>
    <sheet name="MIR TRANSPARENCIA" sheetId="3" r:id="rId1"/>
    <sheet name="SID" sheetId="5" state="hidden" r:id="rId2"/>
    <sheet name="Estático" sheetId="6" state="hidden" r:id="rId3"/>
    <sheet name="Copia de MIR 1" sheetId="7" state="hidden" r:id="rId4"/>
    <sheet name="Copia de MIR" sheetId="8" state="hidden" r:id="rId5"/>
    <sheet name="Subida" sheetId="9" state="hidden" r:id="rId6"/>
    <sheet name="finproposito" sheetId="10" state="hidden" r:id="rId7"/>
  </sheets>
  <definedNames>
    <definedName name="_xlnm._FilterDatabase" localSheetId="0" hidden="1">'MIR TRANSPARENCIA'!$A$32:$R$60</definedName>
  </definedNames>
  <calcPr calcId="152511"/>
</workbook>
</file>

<file path=xl/calcChain.xml><?xml version="1.0" encoding="utf-8"?>
<calcChain xmlns="http://schemas.openxmlformats.org/spreadsheetml/2006/main">
  <c r="G29" i="9" l="1"/>
  <c r="G28" i="9"/>
  <c r="G19" i="9"/>
  <c r="G18" i="9"/>
  <c r="G16" i="9"/>
  <c r="G13" i="9"/>
  <c r="O34" i="8"/>
  <c r="O33" i="8"/>
  <c r="I4" i="5"/>
  <c r="I3" i="5"/>
  <c r="I2" i="5"/>
  <c r="G7" i="10"/>
  <c r="A5" i="10"/>
  <c r="X44" i="8"/>
  <c r="X58" i="8"/>
  <c r="AD37" i="8"/>
  <c r="H23" i="5"/>
  <c r="U41" i="8"/>
  <c r="Y36" i="8"/>
  <c r="Y40" i="8"/>
  <c r="X42" i="8"/>
  <c r="D1" i="5"/>
  <c r="F29" i="5"/>
  <c r="B3" i="10"/>
  <c r="C9" i="5"/>
  <c r="Z44" i="8"/>
  <c r="E29" i="5"/>
  <c r="B7" i="10"/>
  <c r="D17" i="5"/>
  <c r="AC43" i="8"/>
  <c r="H28" i="5"/>
  <c r="U37" i="8"/>
  <c r="H8" i="5"/>
  <c r="B1" i="5"/>
  <c r="Z45" i="8"/>
  <c r="V46" i="8"/>
  <c r="E22" i="5"/>
  <c r="AC55" i="8"/>
  <c r="X45" i="8"/>
  <c r="Z1" i="10"/>
  <c r="X47" i="8"/>
  <c r="A2" i="5"/>
  <c r="E6" i="10"/>
  <c r="S46" i="8"/>
  <c r="W53" i="8"/>
  <c r="A11" i="5"/>
  <c r="AD46" i="8"/>
  <c r="H8" i="10"/>
  <c r="AA41" i="8"/>
  <c r="L1" i="10"/>
  <c r="Y49" i="8"/>
  <c r="A5" i="5"/>
  <c r="D16" i="5"/>
  <c r="U54" i="8"/>
  <c r="B6" i="5"/>
  <c r="AC40" i="8"/>
  <c r="X53" i="8"/>
  <c r="G16" i="5"/>
  <c r="B10" i="5"/>
  <c r="U46" i="8"/>
  <c r="Z53" i="8"/>
  <c r="Y53" i="8"/>
  <c r="AC46" i="8"/>
  <c r="T40" i="8"/>
  <c r="A16" i="5"/>
  <c r="AB37" i="8"/>
  <c r="C1" i="5"/>
  <c r="E9" i="5"/>
  <c r="O1" i="10"/>
  <c r="AB45" i="8"/>
  <c r="AC57" i="8"/>
  <c r="D6" i="5"/>
  <c r="S53" i="8"/>
  <c r="AD54" i="8"/>
  <c r="A13" i="5"/>
  <c r="B24" i="5"/>
  <c r="C4" i="10"/>
  <c r="D14" i="5"/>
  <c r="Y51" i="8"/>
  <c r="AC58" i="8"/>
  <c r="H5" i="5"/>
  <c r="C18" i="5"/>
  <c r="AA56" i="8"/>
  <c r="AA58" i="8"/>
  <c r="F3" i="10"/>
  <c r="S52" i="8"/>
  <c r="AD50" i="8"/>
  <c r="C24" i="5"/>
  <c r="T43" i="8"/>
  <c r="AC54" i="8"/>
  <c r="V56" i="8"/>
  <c r="A24" i="5"/>
  <c r="A6" i="10"/>
  <c r="G13" i="5"/>
  <c r="AA57" i="8"/>
  <c r="AC39" i="8"/>
  <c r="H6" i="10"/>
  <c r="H12" i="5"/>
  <c r="G11" i="5"/>
  <c r="U40" i="8"/>
  <c r="V45" i="8"/>
  <c r="W44" i="8"/>
  <c r="F16" i="5"/>
  <c r="X43" i="8"/>
  <c r="W45" i="8"/>
  <c r="B23" i="5"/>
  <c r="E10" i="5"/>
  <c r="H9" i="5"/>
  <c r="W40" i="8"/>
  <c r="H1" i="5"/>
  <c r="S55" i="8"/>
  <c r="Z36" i="8"/>
  <c r="F1" i="10"/>
  <c r="AB50" i="8"/>
  <c r="G28" i="5"/>
  <c r="Y1" i="10"/>
  <c r="AB58" i="8"/>
  <c r="Z52" i="8"/>
  <c r="Z59" i="8"/>
  <c r="T47" i="8"/>
  <c r="AA49" i="8"/>
  <c r="A14" i="5"/>
  <c r="F6" i="10"/>
  <c r="C6" i="10"/>
  <c r="H25" i="5"/>
  <c r="AD36" i="8"/>
  <c r="H9" i="10"/>
  <c r="F28" i="5"/>
  <c r="U59" i="8"/>
  <c r="I1" i="10"/>
  <c r="E24" i="5"/>
  <c r="E28" i="5"/>
  <c r="Z58" i="8"/>
  <c r="G29" i="5"/>
  <c r="AB46" i="8"/>
  <c r="G2" i="5"/>
  <c r="Y56" i="8"/>
  <c r="AB59" i="8"/>
  <c r="F27" i="5"/>
  <c r="A12" i="10"/>
  <c r="E4" i="10"/>
  <c r="AD44" i="8"/>
  <c r="D9" i="10"/>
  <c r="S38" i="8"/>
  <c r="G23" i="5"/>
  <c r="AB54" i="8"/>
  <c r="AC60" i="8"/>
  <c r="AA40" i="8"/>
  <c r="V48" i="8"/>
  <c r="F1" i="5"/>
  <c r="Y41" i="8"/>
  <c r="Z46" i="8"/>
  <c r="H22" i="5"/>
  <c r="H4" i="5"/>
  <c r="U44" i="8"/>
  <c r="V57" i="8"/>
  <c r="B8" i="5"/>
  <c r="Z43" i="8"/>
  <c r="C9" i="10"/>
  <c r="H20" i="5"/>
  <c r="S48" i="8"/>
  <c r="Y37" i="8"/>
  <c r="AA36" i="8"/>
  <c r="AA44" i="8"/>
  <c r="AB41" i="8"/>
  <c r="F15" i="5"/>
  <c r="Z41" i="8"/>
  <c r="T38" i="8"/>
  <c r="Z38" i="8"/>
  <c r="T44" i="8"/>
  <c r="D28" i="5"/>
  <c r="G7" i="5"/>
  <c r="AB53" i="8"/>
  <c r="F8" i="10"/>
  <c r="D12" i="10"/>
  <c r="H21" i="5"/>
  <c r="H11" i="5"/>
  <c r="F12" i="10"/>
  <c r="AB56" i="8"/>
  <c r="Z47" i="8"/>
  <c r="T50" i="8"/>
  <c r="AB40" i="8"/>
  <c r="F6" i="5"/>
  <c r="F13" i="5"/>
  <c r="AB52" i="8"/>
  <c r="Y43" i="8"/>
  <c r="C21" i="5"/>
  <c r="B7" i="5"/>
  <c r="D11" i="5"/>
  <c r="AD59" i="8"/>
  <c r="F5" i="5"/>
  <c r="B21" i="5"/>
  <c r="Z40" i="8"/>
  <c r="G3" i="10"/>
  <c r="V39" i="8"/>
  <c r="U42" i="8"/>
  <c r="V41" i="8"/>
  <c r="AA59" i="8"/>
  <c r="AB49" i="8"/>
  <c r="A23" i="5"/>
  <c r="G9" i="5"/>
  <c r="N1" i="10"/>
  <c r="AD52" i="8"/>
  <c r="Y55" i="8"/>
  <c r="T46" i="8"/>
  <c r="AC41" i="8"/>
  <c r="X36" i="8"/>
  <c r="T58" i="8"/>
  <c r="AB48" i="8"/>
  <c r="C29" i="5"/>
  <c r="D15" i="5"/>
  <c r="D19" i="5"/>
  <c r="B5" i="5"/>
  <c r="S41" i="8"/>
  <c r="D26" i="5"/>
  <c r="D23" i="5"/>
  <c r="B9" i="5"/>
  <c r="H5" i="10"/>
  <c r="AA60" i="8"/>
  <c r="V59" i="8"/>
  <c r="W47" i="8"/>
  <c r="AA50" i="8"/>
  <c r="F20" i="5"/>
  <c r="D1" i="10"/>
  <c r="F23" i="5"/>
  <c r="W57" i="8"/>
  <c r="B16" i="5"/>
  <c r="J1" i="10"/>
  <c r="F11" i="10"/>
  <c r="E12" i="10"/>
  <c r="W42" i="8"/>
  <c r="D2" i="10"/>
  <c r="D27" i="5"/>
  <c r="AC36" i="8"/>
  <c r="H3" i="10"/>
  <c r="H7" i="10"/>
  <c r="AA37" i="8"/>
  <c r="AD38" i="8"/>
  <c r="D8" i="10"/>
  <c r="G24" i="5"/>
  <c r="A7" i="5"/>
  <c r="AC59" i="8"/>
  <c r="B20" i="5"/>
  <c r="A19" i="5"/>
  <c r="AC51" i="8"/>
  <c r="V50" i="8"/>
  <c r="T60" i="8"/>
  <c r="E1" i="10"/>
  <c r="F22" i="5"/>
  <c r="V58" i="8"/>
  <c r="E8" i="5"/>
  <c r="C5" i="10"/>
  <c r="E12" i="5"/>
  <c r="AA42" i="8"/>
  <c r="D24" i="5"/>
  <c r="T36" i="8"/>
  <c r="A4" i="5"/>
  <c r="B2" i="5"/>
  <c r="E16" i="5"/>
  <c r="AC38" i="8"/>
  <c r="D12" i="5"/>
  <c r="F10" i="10"/>
  <c r="W48" i="8"/>
  <c r="P1" i="10"/>
  <c r="AD48" i="8"/>
  <c r="E5" i="5"/>
  <c r="A1" i="10"/>
  <c r="F4" i="10"/>
  <c r="Z51" i="8"/>
  <c r="V42" i="8"/>
  <c r="AC44" i="8"/>
  <c r="A29" i="5"/>
  <c r="W52" i="8"/>
  <c r="B12" i="5"/>
  <c r="D10" i="10"/>
  <c r="X39" i="8"/>
  <c r="C19" i="5"/>
  <c r="AB47" i="8"/>
  <c r="G12" i="5"/>
  <c r="E21" i="5"/>
  <c r="D13" i="5"/>
  <c r="D7" i="5"/>
  <c r="U49" i="8"/>
  <c r="U55" i="8"/>
  <c r="W39" i="8"/>
  <c r="Z48" i="8"/>
  <c r="G14" i="5"/>
  <c r="AD60" i="8"/>
  <c r="G6" i="10"/>
  <c r="V51" i="8"/>
  <c r="C23" i="5"/>
  <c r="G18" i="5"/>
  <c r="AB38" i="8"/>
  <c r="F8" i="5"/>
  <c r="B14" i="5"/>
  <c r="D10" i="5"/>
  <c r="AA38" i="8"/>
  <c r="F12" i="5"/>
  <c r="C22" i="5"/>
  <c r="T55" i="8"/>
  <c r="AA51" i="8"/>
  <c r="Y48" i="8"/>
  <c r="T45" i="8"/>
  <c r="AC52" i="8"/>
  <c r="D9" i="5"/>
  <c r="X1" i="10"/>
  <c r="G1" i="10"/>
  <c r="E13" i="5"/>
  <c r="AA47" i="8"/>
  <c r="G21" i="5"/>
  <c r="B9" i="10"/>
  <c r="W46" i="8"/>
  <c r="X56" i="8"/>
  <c r="S42" i="8"/>
  <c r="F26" i="5"/>
  <c r="W49" i="8"/>
  <c r="H16" i="5"/>
  <c r="S36" i="8"/>
  <c r="F5" i="10"/>
  <c r="AA54" i="8"/>
  <c r="E20" i="5"/>
  <c r="W41" i="8"/>
  <c r="W60" i="8"/>
  <c r="S57" i="8"/>
  <c r="AD53" i="8"/>
  <c r="Y50" i="8"/>
  <c r="G20" i="5"/>
  <c r="W43" i="8"/>
  <c r="W56" i="8"/>
  <c r="T53" i="8"/>
  <c r="E26" i="5"/>
  <c r="G10" i="10"/>
  <c r="C16" i="5"/>
  <c r="Y54" i="8"/>
  <c r="T48" i="8"/>
  <c r="S47" i="8"/>
  <c r="B12" i="10"/>
  <c r="A7" i="10"/>
  <c r="X46" i="8"/>
  <c r="AB57" i="8"/>
  <c r="U53" i="8"/>
  <c r="H27" i="5"/>
  <c r="U50" i="8"/>
  <c r="AB44" i="8"/>
  <c r="T54" i="8"/>
  <c r="B13" i="5"/>
  <c r="C17" i="5"/>
  <c r="S58" i="8"/>
  <c r="C2" i="10"/>
  <c r="X57" i="8"/>
  <c r="U1" i="10"/>
  <c r="W58" i="8"/>
  <c r="C10" i="5"/>
  <c r="V37" i="8"/>
  <c r="A22" i="5"/>
  <c r="G3" i="5"/>
  <c r="T52" i="8"/>
  <c r="AA46" i="8"/>
  <c r="U47" i="8"/>
  <c r="T39" i="8"/>
  <c r="H29" i="5"/>
  <c r="E14" i="5"/>
  <c r="M1" i="10"/>
  <c r="F2" i="10"/>
  <c r="B22" i="5"/>
  <c r="B18" i="5"/>
  <c r="D21" i="5"/>
  <c r="G5" i="10"/>
  <c r="C5" i="5"/>
  <c r="S39" i="8"/>
  <c r="U38" i="8"/>
  <c r="B5" i="10"/>
  <c r="U39" i="8"/>
  <c r="W54" i="8"/>
  <c r="AD42" i="8"/>
  <c r="C12" i="5"/>
  <c r="T42" i="8"/>
  <c r="H11" i="10"/>
  <c r="C10" i="10"/>
  <c r="S43" i="8"/>
  <c r="AA45" i="8"/>
  <c r="G11" i="10"/>
  <c r="X59" i="8"/>
  <c r="W37" i="8"/>
  <c r="H2" i="10"/>
  <c r="G25" i="5"/>
  <c r="Y38" i="8"/>
  <c r="H24" i="5"/>
  <c r="AC37" i="8"/>
  <c r="AA48" i="8"/>
  <c r="Q1" i="10"/>
  <c r="C4" i="5"/>
  <c r="X54" i="8"/>
  <c r="H18" i="5"/>
  <c r="G17" i="5"/>
  <c r="G2" i="10"/>
  <c r="D3" i="10"/>
  <c r="B2" i="10"/>
  <c r="E7" i="5"/>
  <c r="E2" i="10"/>
  <c r="C8" i="10"/>
  <c r="V36" i="8"/>
  <c r="C15" i="5"/>
  <c r="W36" i="8"/>
  <c r="F17" i="5"/>
  <c r="V55" i="8"/>
  <c r="V52" i="8"/>
  <c r="Y58" i="8"/>
  <c r="H7" i="5"/>
  <c r="B4" i="5"/>
  <c r="E19" i="5"/>
  <c r="B6" i="10"/>
  <c r="AD58" i="8"/>
  <c r="S59" i="8"/>
  <c r="R1" i="10"/>
  <c r="C3" i="10"/>
  <c r="C20" i="5"/>
  <c r="B10" i="10"/>
  <c r="G1" i="5"/>
  <c r="AA55" i="8"/>
  <c r="H15" i="5"/>
  <c r="F19" i="5"/>
  <c r="V1" i="10"/>
  <c r="D5" i="10"/>
  <c r="U36" i="8"/>
  <c r="C11" i="10"/>
  <c r="AA39" i="8"/>
  <c r="E18" i="5"/>
  <c r="G22" i="5"/>
  <c r="V60" i="8"/>
  <c r="B15" i="5"/>
  <c r="AA53" i="8"/>
  <c r="Z60" i="8"/>
  <c r="T51" i="8"/>
  <c r="AA52" i="8"/>
  <c r="G6" i="5"/>
  <c r="H1" i="10"/>
  <c r="F7" i="10"/>
  <c r="E3" i="10"/>
  <c r="A9" i="10"/>
  <c r="Y60" i="8"/>
  <c r="T41" i="8"/>
  <c r="U57" i="8"/>
  <c r="D20" i="5"/>
  <c r="C26" i="5"/>
  <c r="AA43" i="8"/>
  <c r="G27" i="5"/>
  <c r="A18" i="5"/>
  <c r="B1" i="10"/>
  <c r="B11" i="10"/>
  <c r="Z42" i="8"/>
  <c r="E10" i="10"/>
  <c r="G26" i="5"/>
  <c r="T49" i="8"/>
  <c r="X48" i="8"/>
  <c r="B17" i="5"/>
  <c r="AD39" i="8"/>
  <c r="C2" i="5"/>
  <c r="A28" i="5"/>
  <c r="F14" i="5"/>
  <c r="D4" i="10"/>
  <c r="E8" i="10"/>
  <c r="V54" i="8"/>
  <c r="E15" i="5"/>
  <c r="A4" i="10"/>
  <c r="C14" i="5"/>
  <c r="W55" i="8"/>
  <c r="E7" i="10"/>
  <c r="Y47" i="8"/>
  <c r="AC48" i="8"/>
  <c r="C27" i="5"/>
  <c r="AD41" i="8"/>
  <c r="S50" i="8"/>
  <c r="A8" i="10"/>
  <c r="Y57" i="8"/>
  <c r="A26" i="5"/>
  <c r="A6" i="5"/>
  <c r="B25" i="5"/>
  <c r="G12" i="10"/>
  <c r="E17" i="5"/>
  <c r="F9" i="10"/>
  <c r="E6" i="5"/>
  <c r="A10" i="10"/>
  <c r="A21" i="5"/>
  <c r="AC50" i="8"/>
  <c r="A10" i="5"/>
  <c r="S51" i="8"/>
  <c r="S49" i="8"/>
  <c r="G10" i="5"/>
  <c r="F9" i="5"/>
  <c r="V53" i="8"/>
  <c r="H26" i="5"/>
  <c r="V43" i="8"/>
  <c r="Z56" i="8"/>
  <c r="B28" i="5"/>
  <c r="C1" i="10"/>
  <c r="B27" i="5"/>
  <c r="A27" i="5"/>
  <c r="H10" i="10"/>
  <c r="C6" i="5"/>
  <c r="U52" i="8"/>
  <c r="B3" i="5"/>
  <c r="U48" i="8"/>
  <c r="W51" i="8"/>
  <c r="X51" i="8"/>
  <c r="D25" i="5"/>
  <c r="AD43" i="8"/>
  <c r="A2" i="10"/>
  <c r="S37" i="8"/>
  <c r="C13" i="5"/>
  <c r="A11" i="10"/>
  <c r="A3" i="5"/>
  <c r="AC53" i="8"/>
  <c r="X49" i="8"/>
  <c r="Y52" i="8"/>
  <c r="S44" i="8"/>
  <c r="AD56" i="8"/>
  <c r="AB55" i="8"/>
  <c r="AC47" i="8"/>
  <c r="A20" i="5"/>
  <c r="T59" i="8"/>
  <c r="W59" i="8"/>
  <c r="W1" i="10"/>
  <c r="A25" i="5"/>
  <c r="D29" i="5"/>
  <c r="H13" i="5"/>
  <c r="AC42" i="8"/>
  <c r="A1" i="5"/>
  <c r="U58" i="8"/>
  <c r="K1" i="10"/>
  <c r="X55" i="8"/>
  <c r="H12" i="10"/>
  <c r="AB36" i="8"/>
  <c r="E27" i="5"/>
  <c r="H2" i="5"/>
  <c r="B8" i="10"/>
  <c r="B26" i="5"/>
  <c r="X37" i="8"/>
  <c r="Z37" i="8"/>
  <c r="G15" i="5"/>
  <c r="D6" i="10"/>
  <c r="V38" i="8"/>
  <c r="X40" i="8"/>
  <c r="S1" i="10"/>
  <c r="F24" i="5"/>
  <c r="F18" i="5"/>
  <c r="W38" i="8"/>
  <c r="AD45" i="8"/>
  <c r="H3" i="5"/>
  <c r="U45" i="8"/>
  <c r="E1" i="5"/>
  <c r="U43" i="8"/>
  <c r="S54" i="8"/>
  <c r="AC56" i="8"/>
  <c r="X50" i="8"/>
  <c r="T1" i="10"/>
  <c r="E11" i="5"/>
  <c r="U56" i="8"/>
  <c r="S40" i="8"/>
  <c r="G9" i="10"/>
  <c r="E25" i="5"/>
  <c r="B19" i="5"/>
  <c r="S45" i="8"/>
  <c r="D18" i="5"/>
  <c r="T56" i="8"/>
  <c r="E9" i="10"/>
  <c r="Y39" i="8"/>
  <c r="AD51" i="8"/>
  <c r="D7" i="10"/>
  <c r="E23" i="5"/>
  <c r="G4" i="5"/>
  <c r="B11" i="5"/>
  <c r="S60" i="8"/>
  <c r="W50" i="8"/>
  <c r="U51" i="8"/>
  <c r="D5" i="5"/>
  <c r="V40" i="8"/>
  <c r="AC49" i="8"/>
  <c r="Z39" i="8"/>
  <c r="F10" i="5"/>
  <c r="V49" i="8"/>
  <c r="Y42" i="8"/>
  <c r="H4" i="10"/>
  <c r="Y46" i="8"/>
  <c r="T57" i="8"/>
  <c r="AC45" i="8"/>
  <c r="C7" i="10"/>
  <c r="Z55" i="8"/>
  <c r="Z54" i="8"/>
  <c r="AB43" i="8"/>
  <c r="A12" i="5"/>
  <c r="AD47" i="8"/>
  <c r="Z50" i="8"/>
  <c r="F7" i="5"/>
  <c r="F11" i="5"/>
  <c r="Z57" i="8"/>
  <c r="X38" i="8"/>
  <c r="H10" i="5"/>
  <c r="AD40" i="8"/>
  <c r="Y44" i="8"/>
  <c r="U60" i="8"/>
  <c r="A9" i="5"/>
  <c r="G5" i="5"/>
  <c r="B29" i="5"/>
  <c r="A15" i="5"/>
  <c r="AD55" i="8"/>
  <c r="G4" i="10"/>
  <c r="B4" i="10"/>
  <c r="V44" i="8"/>
  <c r="V47" i="8"/>
  <c r="A3" i="10"/>
  <c r="Y45" i="8"/>
  <c r="C8" i="5"/>
  <c r="H17" i="5"/>
  <c r="C25" i="5"/>
  <c r="AB39" i="8"/>
  <c r="A8" i="5"/>
  <c r="T37" i="8"/>
  <c r="F25" i="5"/>
  <c r="H19" i="5"/>
  <c r="D11" i="10"/>
  <c r="C7" i="5"/>
  <c r="AB42" i="8"/>
  <c r="H6" i="5"/>
  <c r="C12" i="10"/>
  <c r="X41" i="8"/>
  <c r="X52" i="8"/>
  <c r="S56" i="8"/>
  <c r="C3" i="5"/>
  <c r="X60" i="8"/>
  <c r="G19" i="5"/>
  <c r="C11" i="5"/>
  <c r="C28" i="5"/>
  <c r="E5" i="10"/>
  <c r="G8" i="10"/>
  <c r="AD49" i="8"/>
  <c r="D8" i="5"/>
  <c r="G8" i="5"/>
  <c r="A17" i="5"/>
  <c r="AD57" i="8"/>
  <c r="H14" i="5"/>
  <c r="Z49" i="8"/>
  <c r="E11" i="10"/>
  <c r="AB60" i="8"/>
  <c r="AB51" i="8"/>
  <c r="F21" i="5"/>
  <c r="Y59" i="8"/>
  <c r="I18" i="5" l="1"/>
  <c r="AE40" i="8"/>
  <c r="AE48" i="8"/>
  <c r="AE55" i="8"/>
  <c r="J2" i="5"/>
  <c r="AE45" i="8"/>
  <c r="AE51" i="8"/>
  <c r="AF51" i="8" s="1"/>
  <c r="AE59" i="8"/>
  <c r="AF59" i="8" s="1"/>
  <c r="I8" i="5"/>
  <c r="J8" i="5" s="1"/>
  <c r="I12" i="5"/>
  <c r="J12" i="5" s="1"/>
  <c r="I24" i="5"/>
  <c r="J24" i="5" s="1"/>
  <c r="I28" i="5"/>
  <c r="I21" i="5"/>
  <c r="J21" i="5" s="1"/>
  <c r="I29" i="5"/>
  <c r="J29" i="5" s="1"/>
  <c r="AE38" i="8"/>
  <c r="AF38" i="8" s="1"/>
  <c r="AE46" i="8"/>
  <c r="AF46" i="8" s="1"/>
  <c r="AE54" i="8"/>
  <c r="J4" i="5"/>
  <c r="I17" i="5"/>
  <c r="J17" i="5" s="1"/>
  <c r="AE37" i="8"/>
  <c r="AE53" i="8"/>
  <c r="AE57" i="8"/>
  <c r="AF57" i="8" s="1"/>
  <c r="I6" i="5"/>
  <c r="J6" i="5" s="1"/>
  <c r="I10" i="5"/>
  <c r="J10" i="5" s="1"/>
  <c r="I26" i="5"/>
  <c r="J26" i="5" s="1"/>
  <c r="AE36" i="8"/>
  <c r="AF36" i="8" s="1"/>
  <c r="AE44" i="8"/>
  <c r="AF44" i="8" s="1"/>
  <c r="AE42" i="8"/>
  <c r="AE50" i="8"/>
  <c r="AF50" i="8" s="1"/>
  <c r="AE58" i="8"/>
  <c r="AF58" i="8" s="1"/>
  <c r="I15" i="5"/>
  <c r="J15" i="5" s="1"/>
  <c r="AE52" i="8"/>
  <c r="AE56" i="8"/>
  <c r="AF56" i="8" s="1"/>
  <c r="AE60" i="8"/>
  <c r="AF60" i="8" s="1"/>
  <c r="I14" i="5"/>
  <c r="J14" i="5" s="1"/>
  <c r="I16" i="5"/>
  <c r="AE41" i="8"/>
  <c r="AE49" i="8"/>
  <c r="J3" i="5"/>
  <c r="I20" i="5"/>
  <c r="J20" i="5" s="1"/>
  <c r="I22" i="5"/>
  <c r="J22" i="5" s="1"/>
  <c r="AE39" i="8"/>
  <c r="AF39" i="8" s="1"/>
  <c r="AE47" i="8"/>
  <c r="AF47" i="8" s="1"/>
  <c r="AE43" i="8"/>
  <c r="AF43" i="8" s="1"/>
  <c r="I5" i="5"/>
  <c r="J5" i="5" s="1"/>
  <c r="I7" i="5"/>
  <c r="J7" i="5" s="1"/>
  <c r="I9" i="5"/>
  <c r="J9" i="5" s="1"/>
  <c r="I11" i="5"/>
  <c r="J11" i="5" s="1"/>
  <c r="I13" i="5"/>
  <c r="I19" i="5"/>
  <c r="I23" i="5"/>
  <c r="J23" i="5" s="1"/>
  <c r="I25" i="5"/>
  <c r="J25" i="5" s="1"/>
  <c r="I27" i="5"/>
  <c r="J27" i="5" s="1"/>
  <c r="K28" i="5" l="1"/>
  <c r="L28" i="5"/>
  <c r="K19" i="5"/>
  <c r="L19" i="5"/>
  <c r="L16" i="5"/>
  <c r="K16" i="5"/>
  <c r="L13" i="5"/>
  <c r="K13" i="5"/>
  <c r="J13" i="5"/>
  <c r="L18" i="5"/>
  <c r="K18" i="5"/>
</calcChain>
</file>

<file path=xl/sharedStrings.xml><?xml version="1.0" encoding="utf-8"?>
<sst xmlns="http://schemas.openxmlformats.org/spreadsheetml/2006/main" count="2148" uniqueCount="390">
  <si>
    <t>Formato de Matriz de Indicadores de Resultados</t>
  </si>
  <si>
    <t>Ejercicio Fiscal 2023</t>
  </si>
  <si>
    <t>Programas Presupuestarios</t>
  </si>
  <si>
    <t>MUNICIPIO</t>
  </si>
  <si>
    <t>GUADALAJARA</t>
  </si>
  <si>
    <t>DENOMINACIÓN DEL PROGRAMA</t>
  </si>
  <si>
    <t>1. Inclusión, Discapacidad, Adultos Mayores y Grupos Vulnerables</t>
  </si>
  <si>
    <t></t>
  </si>
  <si>
    <t>CATEGORÍA PROGRAMÁTICA</t>
  </si>
  <si>
    <t>E. Prestación de Servicios Públicos.</t>
  </si>
  <si>
    <t>UNIDAD RESPONSABLE/OPD</t>
  </si>
  <si>
    <t xml:space="preserve">Jefatura de Gabinete </t>
  </si>
  <si>
    <t xml:space="preserve">OPD  de la Administración Pública Municipal denominado Sistema DIF Guadalajara 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</si>
  <si>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</si>
  <si>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</si>
  <si>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</si>
  <si>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</si>
  <si>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</si>
  <si>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</si>
  <si>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</si>
  <si>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</si>
  <si>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</si>
  <si>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</si>
  <si>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</si>
  <si>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</si>
  <si>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</si>
  <si>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Eje de Desarrollo Social</t>
  </si>
  <si>
    <t>ALINEACIÓN CON OBJETIVOS DE RESULTADO DEL PED</t>
  </si>
  <si>
    <t>2.4 Grupos prioritarios</t>
  </si>
  <si>
    <t>PLAN MUNICIPAL DE DESARROLLO</t>
  </si>
  <si>
    <t>ALINEACIÓN CON LOS EJES DEL PMDyG</t>
  </si>
  <si>
    <t>Guadalajara Próspera e Incluyente</t>
  </si>
  <si>
    <t>ALINEACIÓN CON OBJETIVOS DEL PMDyG</t>
  </si>
  <si>
    <t>O2. Ejecutar programas sociales estratégicos que impulsen la innovación social responsable e incluyente, para garantizar un crecimiento equitativos, equilibrado y sostenible.</t>
  </si>
  <si>
    <t xml:space="preserve">ESTRATEGIA </t>
  </si>
  <si>
    <t>E2.4 Cohesión del tejido social y E2.5 Generación de condiciones para la impartición de asistencia social que propicie la restitución de derechos a las personas vulnerables.</t>
  </si>
  <si>
    <t>LINEA DE ACCIÓN</t>
  </si>
  <si>
    <t>Promover entornos sociales saludables y libres de violencia por medio de servicios asistenciales y a bajo costo para disminuir los riesgos psicosociales.</t>
  </si>
  <si>
    <t xml:space="preserve">EJES ESTRATÉGICOS DEL SISTEMA DIF GUADALAJARA </t>
  </si>
  <si>
    <t xml:space="preserve">Guadalajara en Paz </t>
  </si>
  <si>
    <t>IMPORTE</t>
  </si>
  <si>
    <t>Mes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</si>
  <si>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</si>
  <si>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</si>
  <si>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</si>
  <si>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</si>
  <si>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</si>
  <si>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</si>
  <si>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</si>
  <si>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</si>
  <si>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</si>
  <si>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</si>
  <si>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</si>
  <si>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</si>
  <si>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</si>
  <si>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</si>
  <si>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META ALCANZADA</t>
  </si>
  <si>
    <t>FUENTES DE INFORMACIÓN Y MEDIOS DE VERIFICACIÓN</t>
  </si>
  <si>
    <t>SUPUESTOS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</si>
  <si>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</si>
  <si>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</si>
  <si>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</si>
  <si>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</si>
  <si>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</si>
  <si>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</si>
  <si>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</si>
  <si>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</si>
  <si>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</si>
  <si>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</si>
  <si>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</si>
  <si>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</si>
  <si>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</si>
  <si>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Meta alcanzada</t>
  </si>
  <si>
    <t>FIN/PROPÓSITO SUMA</t>
  </si>
  <si>
    <t>FIN</t>
  </si>
  <si>
    <t xml:space="preserve">Contribuir a la restitución de derechos a personas y grupos en condición de vulnerabilidad, mediante servicios de salud, nutrición, psicológicos, de habilidades para el trabajo, educación y atención y prevención a las violencias en Guadalajara en el 2023. </t>
  </si>
  <si>
    <t>Porcentaje  de personas que asisten a servicios de salud, nutrición, psicológicos, de habilidades para el trabajo, educación y atención y prevención a las violencias en Guadalajara durante el 2023</t>
  </si>
  <si>
    <t>Mide el porcentaje  de personas que asisten a servicios de salud, nutrición, psicológicos, de habilidades para el trabajo, educación y atención y prevención a las violencias respecto de la meta planteada para el 2023</t>
  </si>
  <si>
    <t xml:space="preserve">Eficacia </t>
  </si>
  <si>
    <t>Estratégico</t>
  </si>
  <si>
    <t>Número de personas atendidas en los servicios de salud, nutrición, psicológicos, de habilidades para el trabajo, educación y atención y prevención a las violencias durante el 2023/ número meta de personas por atender para el 2023*100</t>
  </si>
  <si>
    <t>Número de personas atendidas en los servicios de salud, nutrición, psicológicos, de habilidades para el trabajo, educación y atención y prevención a las violencias durante el 2023</t>
  </si>
  <si>
    <t xml:space="preserve"> Número meta de personas por atender en el 2023</t>
  </si>
  <si>
    <t>Anual</t>
  </si>
  <si>
    <t>Porcentaje</t>
  </si>
  <si>
    <t>No disponible</t>
  </si>
  <si>
    <t>V1: Expedientes
V2: Listas de asistencia
V3: Padrón de beneficiarios</t>
  </si>
  <si>
    <t>Existe una colaboración activa y comprometida de la sociedad civil y de organizaciones no gubernamentales que trabajen en la atención y prevención de la violencia, así como en la promoción de la salud y la educación. Además, hay un entorno económico y social estable que permita la inversión en programas y servicios para la población vulnerable.</t>
  </si>
  <si>
    <t>PROPÓSITO</t>
  </si>
  <si>
    <t>La población de Guadalajara accede a servicios asistenciales y a bajo costo para disminuir los riesgos psicosociales a través de los programas del eje de Guadalajara en Paz del Sistema DIF Guadalajara en el 2023</t>
  </si>
  <si>
    <t>Porcentaje de servicios brindados a grupos en condición de vulnerabilidad en los programas de salud, nutrición, psicológicos, de habilidades para el trabajo, educación y atención y prevención a las violencias que oferta el Sistema DIF Guadalajara durante el 2023</t>
  </si>
  <si>
    <t>Mide el porcentaje de servicios brindados a grupos en condición de vulnerabilidad en los programas de salud, nutrición, psicológicos, de habilidades para el trabajo, educación y atención y prevención a las violencias que oferta el Sistema DIF Guadalajara, durante el 2023</t>
  </si>
  <si>
    <t>Eficiencia</t>
  </si>
  <si>
    <t>Número total de servicios brindados a grupos en condición de vulnerabilidad en los programas del eje Guadalajara en Paz durante el 2023/ Número de servicios a grupos en condición de vulnerabilidad de los programas del eje Guadalajara en Paz programados para el 2023*100</t>
  </si>
  <si>
    <t>Número total de servicios brindados a grupos en condición de vulnerabilidad en los programas del eje Guadalajara en Paz durante el 2023</t>
  </si>
  <si>
    <t>Número de servicios a grupos en condición de vulnerabilidad de los programas del eje Guadalajara en Paz programados para el 2023</t>
  </si>
  <si>
    <t>V1:Expedientes
V2:Bitácora</t>
  </si>
  <si>
    <t>La población tiene acceso a información clara y precisa sobre los programas para que puedan aprovecharlos al máximo.</t>
  </si>
  <si>
    <t>25. Grupos vulnerables</t>
  </si>
  <si>
    <t>COMPONENTE 1</t>
  </si>
  <si>
    <t>C1. Servicios de reconstrucción del tejido social brindados en los Centros de Desarrollo Comunitario a grupos en condición de vulnerabilidad en 2023</t>
  </si>
  <si>
    <t>Porcentaje de programas en los CDC que cumplieron una meta superior al 90% durante 2023</t>
  </si>
  <si>
    <t>Mide el porcentaje de los programas que operan en los Centros de Desarrollo Comunitario y que alcanzaron al menos el 90% durante 2023</t>
  </si>
  <si>
    <t>Eficacia</t>
  </si>
  <si>
    <t>Programas de apoyos asistenciales, servicios médicos, alimentos entregados, servicios odontológicos, psicológicos, estudios de laboratorio, raciones en comedores, talleres, grupos de preescolar, que alcanzaron una meta superior al 90%/  Programas que se espera que tengan una meta superior al 90%</t>
  </si>
  <si>
    <t>Programas en CDC de apoyos asistenciales, servicios médicos, alimentos entregados, servicios ondotológicos, psicológicos, estudios de laboratorio, raciones en comedores, talleres, grupos de preescolar, que alcanzaron una meta superior al 90%</t>
  </si>
  <si>
    <t>Programas que se espera que tengan una meta superior al 90% (9)</t>
  </si>
  <si>
    <t>Mensual</t>
  </si>
  <si>
    <t>Hay un vínculo entre la sociedad tapatía y las instituciones públicas,de tal forma que la población en situación de vulnerabilidad tienen fácil acceso a los servicios otorgados en los CDC.</t>
  </si>
  <si>
    <t>ACTIVIDAD 1.1</t>
  </si>
  <si>
    <t>Apoyos asistenciales entregados a la población vulnerable que radica en la municipalidad de Guadalajara y en tránsito en el programa de Trabajo Social Asistencial durante el 2023</t>
  </si>
  <si>
    <t>Apoyos asistenciales entregados en 2023</t>
  </si>
  <si>
    <t>Mide el porcentaje de apoyos asistenciales entregados en 2023</t>
  </si>
  <si>
    <t>Gestión</t>
  </si>
  <si>
    <t>Apoyos asistenciales entregados durante el 2023/ apoyos asistenciales establecidos como meta para el 2023*100</t>
  </si>
  <si>
    <t>Apoyos asistenciales entregados durante el 2023</t>
  </si>
  <si>
    <t>Apoyos asistenciales establecidos como meta para el 2023</t>
  </si>
  <si>
    <t>Padrón de beneficiarios</t>
  </si>
  <si>
    <t>Se mantienen las condiciones de seguridad y estabilidad en el municipio que garantiza que los beneficiarios pueden recibir los apoyos sin riesgos para su integridad física o emocional.</t>
  </si>
  <si>
    <t>ACTIVIDAD 1.2</t>
  </si>
  <si>
    <t>Expedientes integrados para la atención a la población vulnerable de Guadalajara durante el 2023</t>
  </si>
  <si>
    <t>Porcentaje de expedientes completos para la atención a las necesidades a la población vulnerable en 2023</t>
  </si>
  <si>
    <t>Mide el porcentaje de expedientes completos para la atención a las necesidades de la población vulnerable en 2023</t>
  </si>
  <si>
    <t>Expedientes integrados de manera completa en 2023/ expedientes establecidos como meta*100</t>
  </si>
  <si>
    <t>Expedientes integrados de manera completa en 2023</t>
  </si>
  <si>
    <t>Expedientes establecidos como meta</t>
  </si>
  <si>
    <t>Expedientes de trabajo social</t>
  </si>
  <si>
    <t>Existe una colaboración activa y comprometida de la sociedad civil y de la institución pública que permite la integración de los expedientes.</t>
  </si>
  <si>
    <t>FIN/PROPÓSITO</t>
  </si>
  <si>
    <t>ACTIVIDAD 1.3</t>
  </si>
  <si>
    <t>Servicios médicos de atención y prevención de primer nivel brindados, durante el 2023</t>
  </si>
  <si>
    <t>Porcentaje de atención a la población que requiere los servicios de atención médica de primer nivel ofrecidos por el Sistema DIF Guadalajara, en 2023</t>
  </si>
  <si>
    <t>Mide el porcentaje de atención a la población que requiere los servicios de atención médica de primer nivel ofrecidos por el Sistema DIF Guadalajara, en 2023</t>
  </si>
  <si>
    <t>Número de personas atendidas por los servicios de atención médica de primer nivel durante el 2023/ número de personas programadas para servicios de atención médica  de primer nivel para el 2023 *100</t>
  </si>
  <si>
    <t>Número de personas atendidas por los servicios de atención médica de primer nivel durante el 2023</t>
  </si>
  <si>
    <t xml:space="preserve">Número de personas programadas para servicios de atención médica  de primer nivel para el 2023 </t>
  </si>
  <si>
    <t>V1:Expedientes 
V2:bitácora de registro</t>
  </si>
  <si>
    <t xml:space="preserve">La población tiene conciencia sobre la importancia de la atención médica preventiva. </t>
  </si>
  <si>
    <t>ACTIVIDAD 1.4</t>
  </si>
  <si>
    <t>Alimentos nutritivos e inocuos entregados a la población con inseguridad alimentaria en el municipio de Guadalajara, durante el 2023</t>
  </si>
  <si>
    <t>Porcentaje de personas con inseguridad alimentaria que es atendida por el programa de  Atención Alimentaria, en 2023</t>
  </si>
  <si>
    <t>Mide el porcentaje de personas con inseguridad alimentaria que es atendida por el programa de  Atención alimentaria, en 2023</t>
  </si>
  <si>
    <t>Número de personas beneficiadas en el programa de Desayunos escolares + número de personas beneficiadas en PAAGP + número de personas beneficiadas en programa de atención alimentaria en los primeros 1000 días de vida, durante el 2023/ Número de personas inscritas en los programas de asistencia alimentaria del Sistema DIF Guadalajara para el 2023*100</t>
  </si>
  <si>
    <t>Número de personas beneficiadas en el programa de Desayunos escolares + número de personas beneficiadas en PAAGP + número de personas beneficiadas en programa de atención alimentaria en los primeros 1000 días de vida, durante el 2023</t>
  </si>
  <si>
    <t>Número de personas inscritas en los programas de asistencia alimentaria del Sistema DIF Guadalajara para el 2023</t>
  </si>
  <si>
    <t>La población con insuficiencia alimentaria sabe a dónde asistir por su apoyo y tiene la posibilidad de hacerlo.</t>
  </si>
  <si>
    <t>ACTIVIDAD 1.5</t>
  </si>
  <si>
    <t>Apoyos del Programa de Alimentación Escolar entregados en 2023</t>
  </si>
  <si>
    <t>Apoyos entregados a personas con inseguridad alimentaria del Programa de Alimentación Escolar, en 2023</t>
  </si>
  <si>
    <t>Mide el porcentaje de apoyos entregados a personas con inseguridad alimentaria del Programa de Alimentación Escolar, en 2023</t>
  </si>
  <si>
    <t>Número de raciones de alimentos entregados durante el 2023/ número de raciones de alimentos programados para el 2023*100</t>
  </si>
  <si>
    <t>Número de raciones de alimentos entregados durante el 2023</t>
  </si>
  <si>
    <t>Número de raciones de alimentos programados para el 2023</t>
  </si>
  <si>
    <t>Listas de entregas de los apoyos</t>
  </si>
  <si>
    <t>Los cuidadores de la población escolar con inseguridad alimentaria tiene conocimiento y posibilidades para solicitar su apoyo.</t>
  </si>
  <si>
    <t>ACTIVIDAD 1.6</t>
  </si>
  <si>
    <t>Apoyos del Programa de Atención Alimentaria a Grupos Prioritarios entregados en 2023</t>
  </si>
  <si>
    <t>Apoyos entregados a personas con inseguridad alimentaria del Programa de Asistencia Alimentaria a Grupos Prioritarios, en 2023</t>
  </si>
  <si>
    <t>Mide el porcentaje de apoyos entregados a personas con inseguridad alimentaria del Programa de Asistencia Alimentaria a Grupos Prioritarios, en 2023</t>
  </si>
  <si>
    <t>Número de raciones de alimentos entregados durante el 2023/ número de raciones de alimentos programados durante el 2023*100</t>
  </si>
  <si>
    <t>Número de raciones de alimentos programados durante el 2023</t>
  </si>
  <si>
    <t>La población con inseguridad alimentaria tiene conocimiento y posibilidades para solicitar su apoyo.</t>
  </si>
  <si>
    <t>ACTIVIDAD 1.7</t>
  </si>
  <si>
    <t>Apoyos del Programa de Atención Alimentaria en los Primeros 1000 Días de Vida entregados en 2023</t>
  </si>
  <si>
    <t>Apoyos entregados a personas con inseguridad alimentaria del Programa de Atención Alimentaria en los Primeros 1000 días de vida, en 2023</t>
  </si>
  <si>
    <t>Mide el porcentaje de apoyos entregados a personas con inseguridad alimentaria del Programa de Atención Alimentaria en los Primeros 1000 días de vida, en 2023</t>
  </si>
  <si>
    <t>Las madres y/o personas cuidadoras tienen conocimiento del lugar donde se ofrecen estos apoyos, también cuentan con la posibilidad de asistir a dichos centros.</t>
  </si>
  <si>
    <t>ACTIVIDAD 1.8</t>
  </si>
  <si>
    <t>Prácticas de autocuidado, prevención y atención a la salud bucal y maxilofacial a través de los servicios otorgados, durante el 2023</t>
  </si>
  <si>
    <t>Porcentaje de atención  de servicios odontológicos y maxilofaciales a la población objetivo, en 2023</t>
  </si>
  <si>
    <t>Mide el porcentaje de atención  de servicios odontológicos y maxilofaciales a la población objetivo, en 2023</t>
  </si>
  <si>
    <t>Número de servicios de atención odontológica brindados a personas durante el 2023/ Número meta de servicios de atención odontológica brindados a personas para el 2023*100</t>
  </si>
  <si>
    <t>Número de servicios de atención odontológica brindados a personas durante el 2023</t>
  </si>
  <si>
    <t>Número meta de servicios de atención odontológica brindados a personas para el 2023</t>
  </si>
  <si>
    <t>V1: Expedientes y 
V2: bitácora de registro</t>
  </si>
  <si>
    <t>La población en vulnerabilidad cuentan con el conocimiento  y posibilidad de asistir</t>
  </si>
  <si>
    <t>ACTIVIDAD 1.9</t>
  </si>
  <si>
    <t>Personas en situación de vulnerabilidad que recibieron atención psicológica en CDC, y CAETF en 2023</t>
  </si>
  <si>
    <t>Promedio de personas que recibieron servicio de consulta psicológica, en 2023</t>
  </si>
  <si>
    <t>Mide el promedio de cumplimiento en el servicio de consulta psicológica, en 2023</t>
  </si>
  <si>
    <t>Número de personas que recibieron servicio de consulta psicológica durante el 2023/4</t>
  </si>
  <si>
    <t>Número de personas que recibieron servicio de consulta psicológica durante el 2023</t>
  </si>
  <si>
    <t>Trimestral</t>
  </si>
  <si>
    <t>Promedio</t>
  </si>
  <si>
    <t>Expedientes</t>
  </si>
  <si>
    <t>La población tiene conciencia sobre la importancia de la atención psicológica y cuentan con los medios necesarios para asistir al centro.</t>
  </si>
  <si>
    <t>ACTIVIDAD 1.10</t>
  </si>
  <si>
    <t>Sesiones de atención psicológica brindadas en CDC, y CAETF en 2023</t>
  </si>
  <si>
    <t>Porcentaje de sesiones de los servicios de consulta psicológica, en 2023</t>
  </si>
  <si>
    <t>Mide el porcentaje de cumplimiento en el servicio de consulta psicológica, en 2023</t>
  </si>
  <si>
    <t>Número de consultas psicológicas brindadas en CDC y CAEFT durante el 2023/ Número de consultas psicológicas establecidas como meta en CDC y CAEFT para el 2023*100</t>
  </si>
  <si>
    <t>Número de consultas psicológicas brindadas en CDC y CAEFT durante el 2023</t>
  </si>
  <si>
    <t>Número de consultas psicológicas establecidas como meta en CDC y CAEFT para el 2023</t>
  </si>
  <si>
    <t>ACTIVIDAD 1.11</t>
  </si>
  <si>
    <t>Estudios de laboratorio para la detección oportuna de riesgos en la salud realizados, durante el 2023</t>
  </si>
  <si>
    <t>Porcentaje de cumplimiento en la cobertura de servicios de laboratorio, en 2023</t>
  </si>
  <si>
    <t>Mide el porcentaje de cumplimiento en la cobertura de servicios de laboratorio, en 2023</t>
  </si>
  <si>
    <t>Número de estudios laboratoriales realizados durante el 2023/ número de estudios laboratoriales prospectados como meta para el 2023*100</t>
  </si>
  <si>
    <t>Número de estudios laboratoriales realizados durante el 2023</t>
  </si>
  <si>
    <t>Número de estudios laboratoriales prospectados como meta para el 2023</t>
  </si>
  <si>
    <t>Registros de estudios laboratoriales realizados</t>
  </si>
  <si>
    <t>Existe un balance entre el número de personas que requieren el servicio del laboratorio y de la capacidad técnica y humana de los laboratorios.</t>
  </si>
  <si>
    <t>ACTIVIDAD 1.12</t>
  </si>
  <si>
    <t>Usuarios y usuarias recibieron raciones alimenticias en los comedores comunitarios, durante el 2023</t>
  </si>
  <si>
    <t>Promedio de beneficiarios y beneficiarias que recibieron raciones alimenticias al mes, durante el 2023</t>
  </si>
  <si>
    <t>Mide el Promedio de beneficiarios y beneficiarias que recibieron raciones alimenticias al mes, durante el 2023</t>
  </si>
  <si>
    <t>Usuarios y usuarias de comedores comunitarios durante el 2023/ 4</t>
  </si>
  <si>
    <t>Usuarios y usuarias de comedores comunitarios durante el 2023</t>
  </si>
  <si>
    <t>Existen  las condiciones climáticas, la disponibilidad de recursos naturales y la capacidad de los productores y distribuidores de alimentos para adaptarse a situaciones imprevistas.</t>
  </si>
  <si>
    <t>ACTIVIDAD 1.13</t>
  </si>
  <si>
    <t>Entrega de raciones alimenticias en los comedores comunitarios, durante el 2023</t>
  </si>
  <si>
    <t>Porcentaje de cumplimiento en la entrega de raciones alimentarias en comedores comunitarios, durante el 2023</t>
  </si>
  <si>
    <t>Mide el Porcentaje de cumplimiento en la entrega de raciones alimentarias en comedores comunitarios, durante el 2023.</t>
  </si>
  <si>
    <t>Número de raciones alimentarias entregadas en comedores comunitarios durante el 2023/ número de  raciones alimentarias programadas como meta para el 2023*100</t>
  </si>
  <si>
    <t>Número de raciones alimentarias entregadas en comedores comunitarios durante el 2023</t>
  </si>
  <si>
    <t>Número de  raciones alimentarias programadas como meta para el 2023</t>
  </si>
  <si>
    <t>ACTIVIDAD 1.14</t>
  </si>
  <si>
    <t>Usuarios que asistieron a talleres y cursos realizados en CDC e ICAS trimestralmente en 2023</t>
  </si>
  <si>
    <t>Promedio mensual de usuarios que participaron en talleres y cursos realizadas en CDC e ICAS, en 2023</t>
  </si>
  <si>
    <t>Mide el promedio mensual de usuarios en talleres y cursos realizados en CDC e ICAS en 2023</t>
  </si>
  <si>
    <t>Usuarios y usuarias que asistieron a talleres y cursos en 2023 / 4</t>
  </si>
  <si>
    <t xml:space="preserve">Usuarios y usuarias que asistieron a talleres y cursos en 2023 </t>
  </si>
  <si>
    <t>V1: Padrón de beneficiarios/
V2: listas de asistencia</t>
  </si>
  <si>
    <t xml:space="preserve">Los usuarios están dispuestos y tienen la capacidad de asistir a los talleres y cursos ofrecidos por CDC e ICAS. </t>
  </si>
  <si>
    <t>ACTIVIDAD 1.15</t>
  </si>
  <si>
    <t>Talleres y cursos realizados en CDC e ICAS trimestralmente en 2023</t>
  </si>
  <si>
    <t>Promedio mensual de talleres y cursos realizados en CDC e ICAS, en 2023</t>
  </si>
  <si>
    <t>Mide el Promedio mensual de talleres y cursos realizados en CDC e ICAS, en 2023</t>
  </si>
  <si>
    <t>Talleres realizados durante el 2023 / 4</t>
  </si>
  <si>
    <t>Talleres realizados durante el 2023</t>
  </si>
  <si>
    <t>V1: Convocatorias, 
V2: fotografías, 
V3:listas de asistencia</t>
  </si>
  <si>
    <t>Existe una demanda suficiente por parte de la población interesada en participar en estos eventos.</t>
  </si>
  <si>
    <t>ACTIVIDAD 1.16</t>
  </si>
  <si>
    <t>Niñas y niños en condición de vulnerabilidad económica que terminaron ciclo escolar de nivel preescolar en 2023</t>
  </si>
  <si>
    <t>Porcentaje de eficiencia terminal de las niñas y niños que asisten al Preescolar en CDC, en 2023</t>
  </si>
  <si>
    <t>Mide el Porcentaje de eficiencia terminal de las niñas y niños que asisten al Preescolar en CDC, en 2023</t>
  </si>
  <si>
    <t>Número de niñas y niños que terminan su ciclo escolar en CDC durante el 2023/ Número de niñas y niños que ingresan al último ciclo escolar en CDC durante el 2023 *100</t>
  </si>
  <si>
    <t>Número de niñas y niños que terminan su ciclo escolar en CDC durante el 2023</t>
  </si>
  <si>
    <t xml:space="preserve">Número de niñas y niños que ingresan al último ciclo escolar en CDC durante el 2023 </t>
  </si>
  <si>
    <t>Expedientes de niñas y niños que cursan preescolar en los CDC</t>
  </si>
  <si>
    <t>Las familias tienen un mínimo de condiciones de calidad de vida que permite un sano desarrollo de la niña o niño</t>
  </si>
  <si>
    <t>ACTIVIDAD 1.17</t>
  </si>
  <si>
    <t xml:space="preserve"> Grupos de preescolar activos en CDC en 2023</t>
  </si>
  <si>
    <t>Porcentaje de grupos de preescolar activos CDC durante el 2023</t>
  </si>
  <si>
    <t>Mide el Porcentaje de grupos de preescolar activos CDC durante el 2023</t>
  </si>
  <si>
    <t>Grupos de preescolar activos en CDC durante el 2023 / Grupos de preescolar programados en CDC para el 2023* 100</t>
  </si>
  <si>
    <t xml:space="preserve">Grupos de preescolar activos en CDC durante el 2023 </t>
  </si>
  <si>
    <t>Grupos de preescolar programados en CDC para el 2023</t>
  </si>
  <si>
    <t>Listas de asistencia</t>
  </si>
  <si>
    <t>COMPONENTE 2</t>
  </si>
  <si>
    <t>Apoyos asistenciales entregados a población en situación de emergencia, durante el 2023</t>
  </si>
  <si>
    <t>(Número de apoyos asistenciales brindados durante el 2023/ número de apoyos asistenciales solicitados durante el 2023)*100</t>
  </si>
  <si>
    <t>Número de apoyos asistenciales brindados durante el 2023</t>
  </si>
  <si>
    <t>Número de apoyos asistenciales solicitados durante el 2023</t>
  </si>
  <si>
    <t>V1. Evidencia de apoyos asistenciales brindados por Protección Civil V2. listas de entrega</t>
  </si>
  <si>
    <t>Existe un balance entre el número de personas que requieren el apoyo y la capacidad operativa de entrega.</t>
  </si>
  <si>
    <t>ACTIVIDAD 2.1</t>
  </si>
  <si>
    <t>Capacitaciones brindadas a la población abierta y población en condiciones de emergencias, durante el 2023</t>
  </si>
  <si>
    <t>Porcentaje de cumplimiento en las actividades de capacitación del Programa de Atención y Apoyo Asistencial a las Personas Afectadas por Contingencia o Siniestro, en 2023</t>
  </si>
  <si>
    <t>Mide el cumplimiento de las capacitaciones programadas para 2023</t>
  </si>
  <si>
    <t>(Número de actividades de capacitación del Programa de Atención y Apoyo Asistencial a las Personas Afectadas por Contingencia o Siniestro durante el 2023/ Número total  de actividades de capacitación del Programa de Atención y Apoyo Asistencial a las Personas Afectadas por Contingencia o Siniestro programadas para el 2023)*100</t>
  </si>
  <si>
    <t>Número de actividades de capacitación del Programa de Atención y Apoyo Asistencial a las Personas Afectadas por Contingencia o Siniestro durante el 2023</t>
  </si>
  <si>
    <t>Número total  de actividades de capacitación del Programa de Atención y Apoyo Asistencial a las Personas Afectadas por Contingencia o Siniestro programadas para el 2023</t>
  </si>
  <si>
    <t>Listas de asistencia de capacitaciones realizadas</t>
  </si>
  <si>
    <t>Las personas ya cuentan con las capacitaciones y no requieren asistir</t>
  </si>
  <si>
    <t>COMPONENTE 3</t>
  </si>
  <si>
    <t>Atenciones multidisciplinarias realizadas a las personas que viven y/o ejercer violencia familiar en el municipio de Guadalajara, durante el 2023</t>
  </si>
  <si>
    <t xml:space="preserve">Porcentaje de atenciones por expediente abierto realizadas en la UAVIFAM Guadalajara en 2023. </t>
  </si>
  <si>
    <t xml:space="preserve">Mide el porcentaje de atenciones por expediente abierto realizadas en la UAVIFAM Guadalajara en 2023. </t>
  </si>
  <si>
    <t>(Número de atenciones brindadas en UAVIFAM 2023 / Número de atenciones meta en UAVIFAM 2023) *100</t>
  </si>
  <si>
    <t>Número de atenciones brindadas en UAVIFAM 2023</t>
  </si>
  <si>
    <t>Número de atenciones meta en UAVIFAM 2023</t>
  </si>
  <si>
    <t>V1: Expedientes de Violencia familiar aperturados y 
V2: registro de las atenciones</t>
  </si>
  <si>
    <t>La tendencia de violencias en la familia disminuye lo que provoca una menor necesidad de atenciones por parte de los equipos de las UAVIS</t>
  </si>
  <si>
    <t>ACTIVIDAD 3.1</t>
  </si>
  <si>
    <t>Aperturas de expedientes para la atención multidisciplinaria primaria realizadas a las personas que viven y/o ejercen violencia familiar en el Municipio de Guadalajara, durante el 2023</t>
  </si>
  <si>
    <t>Porcentaje de aperturas de expedientes de atenciones multidisciplinarias primarias en UAVIFAM Guadalajara en 2023</t>
  </si>
  <si>
    <t>Mide el Porcentaje de aperturas de expedientes de atenciones multidisciplinarias primarias en UAVIFAM Guadalajara en 2023</t>
  </si>
  <si>
    <t>(Número de expedientes abiertos para la atención multidisciplinaria primaria  en 2023 / Número de expedientes abiertos para la atenciones multidisciplinarias establecidas como meta en UAVIFAM para el 2023) * 100</t>
  </si>
  <si>
    <t xml:space="preserve">Número de expedientes abiertos para la atención multidisciplinaria primaria  en 2023 </t>
  </si>
  <si>
    <t>Número de expedientes abiertos para la atenciones multidisciplinarias establecidas como meta en UAVIFAM para el 2023</t>
  </si>
  <si>
    <t>V1: Expedientes de Violencia familiar aperturados  
V2:registro de las atenciones</t>
  </si>
  <si>
    <t>Los procesos de atención se complejizan lo que provoca un aumento de tiempo en la atención de los casos y en consecuencia una menor capacidad para atender.</t>
  </si>
  <si>
    <t>ACTIVIDAD 3.2</t>
  </si>
  <si>
    <t>Intervención multidisciplinaria de seguimiento a expedientes activos, durante el 2023</t>
  </si>
  <si>
    <t>Porcentaje de atenciones de seguimiento por expediente en UAVIFAM Guadalajara en 2023</t>
  </si>
  <si>
    <t>Mide el Porcentaje de atenciones de seguimiento por expediente en UAVIFAM Guadalajara en 2023</t>
  </si>
  <si>
    <t>(Número de atenciones de seguimiento brindadas en 2023 / Número de atenciones de seguimiento establecidas como meta en UAVIFAM para el 2023) * 100</t>
  </si>
  <si>
    <t>Número de atenciones de seguimiento brindadas en 2023</t>
  </si>
  <si>
    <t>Número de atenciones de seguimiento establecidas como meta en UAVIFAM para el 2023</t>
  </si>
  <si>
    <t>V1: Expediente de violencia familiar</t>
  </si>
  <si>
    <t xml:space="preserve">Se cierran los casos de seguimiento por desistimiento de los usuarios o usuarias que reciben los servicios. </t>
  </si>
  <si>
    <t>86. Desaparecidos</t>
  </si>
  <si>
    <t>COMPONENTE 4</t>
  </si>
  <si>
    <t>Implementación de sesiones grupales de acompañamiento psicosocial y psicoeducativo para las personas usuarias del Programa de Acompañar las Ausencias, durante el 2023</t>
  </si>
  <si>
    <t>Porcentaje de sesiones grupales realizadas en 2023</t>
  </si>
  <si>
    <t>Mide el Porcentaje de sesiones grupales realizadas en 2023</t>
  </si>
  <si>
    <t>(Número de sesiones grupales realizadas durante el 2023/ número de sesiones grupales programadas para el 2023)*100</t>
  </si>
  <si>
    <t>Número de sesiones grupales realizadas durante el 2023</t>
  </si>
  <si>
    <t>número de sesiones grupales programadas para el 2023</t>
  </si>
  <si>
    <t xml:space="preserve">V1: Lista de asistencia 
V2:programación anual de sesiones grupales </t>
  </si>
  <si>
    <t>Disminuyen las sesiones por contingencias sanitarias o falta de espacio para realizar las reuniones de las y los usuarios</t>
  </si>
  <si>
    <t>ACTIVIDAD 4.1</t>
  </si>
  <si>
    <t>Acompañamientos psicosociales para familiares de víctimas indirectas de desaparición brindadas, durante el 2023</t>
  </si>
  <si>
    <t>Promedio de familias que recibieron acompañamientos por parte del Programa de Acompañar las Ausencias, en 2023</t>
  </si>
  <si>
    <t>Mide el Promedio de familias que recibieron acompañamientos por parte del Programa de Acompañar las Ausencias, en 2023</t>
  </si>
  <si>
    <t>Número meta de familias registradas en el Programa de Acompañar las Ausencias durante el 2023 / 4</t>
  </si>
  <si>
    <t>Número meta de familias registradas en el Programa de Acompañar las Ausencias durante el 2023</t>
  </si>
  <si>
    <t>V1: Expedientes y 
V2:bitácora de registro de acompañamientos</t>
  </si>
  <si>
    <t>Disminuyen las solicitudes de personas con un familiar desaparecido lo que provoca una menor cantidad de servicios brindados</t>
  </si>
  <si>
    <t>ACTIVIDAD 4.2</t>
  </si>
  <si>
    <t>A2C4. Familiares de personas desaparcidas atendidas por el programa de Acompañar las Ausencias</t>
  </si>
  <si>
    <t>Porcentaje de la población objetivo del Programa Acompañar las Ausencias que ha asistido a las sesiones grupales de acompañamiento, en 2023</t>
  </si>
  <si>
    <t>Mide el porcentaje de los familiares asistentes de personas desaparecidas  atendidas por el Programa Acompañar las Ausencias que asistieron a las sesiones grupales de acompañamiento, en 2023</t>
  </si>
  <si>
    <t>Número de familiares de personas desaparecidas que asistieron a las sesiones grupales de acompañamiento durante el 2023/Número programado de familiares de personas desaparecidas que asistieron a las sesiones grupales de acompañamiento durante el 2023</t>
  </si>
  <si>
    <t>Número de familiares de personas desaparecidas que asistieron a las sesiones grupales de acompañamiento durante el 2023</t>
  </si>
  <si>
    <t>Número programado de familiares de personas desaparecidas que asistieron a las sesiones grupales de acompañamiento durante el 2023</t>
  </si>
  <si>
    <t>Lista de asistencia</t>
  </si>
  <si>
    <t>TIPO DE GASTO</t>
  </si>
  <si>
    <t>PRESUPUESTO MENSUAL</t>
  </si>
  <si>
    <t>FUENTE DE FINANCIAMIENTO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</si>
  <si>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</si>
  <si>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</si>
  <si>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</si>
  <si>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</si>
  <si>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</si>
  <si>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</si>
  <si>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</si>
  <si>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</si>
  <si>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</si>
  <si>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</si>
  <si>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</si>
  <si>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</si>
  <si>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POBLACIÓN OBJETIVO</t>
  </si>
  <si>
    <t>LOCALIZACIÓN GEOGRÁFICA</t>
  </si>
  <si>
    <t>GÉNERO</t>
  </si>
  <si>
    <t>DIRECCIONES O UNIDADES PARTICIPANTES</t>
  </si>
  <si>
    <t>FUNCIONARIO RESPONSABLE DEL PROGRAMA</t>
  </si>
  <si>
    <t xml:space="preserve">Porcentaje </t>
  </si>
  <si>
    <t>Porcentaje de apoyos asistenciales entregados a población en situación de emergencia , durante el 2023</t>
  </si>
  <si>
    <t>ALCANCE TRIM</t>
  </si>
  <si>
    <t>PORCENTAJE TRIM</t>
  </si>
  <si>
    <t>prom trim</t>
  </si>
  <si>
    <t>prom men</t>
  </si>
  <si>
    <t>SUBIDO</t>
  </si>
  <si>
    <t>Checar</t>
  </si>
  <si>
    <t>6.2%</t>
  </si>
  <si>
    <t>23.9%</t>
  </si>
  <si>
    <t>69%</t>
  </si>
  <si>
    <t>28.7%</t>
  </si>
  <si>
    <t>0%</t>
  </si>
  <si>
    <t>25%</t>
  </si>
  <si>
    <t>32.3%</t>
  </si>
  <si>
    <t>27.7%</t>
  </si>
  <si>
    <t>23.7%</t>
  </si>
  <si>
    <t>29.1%</t>
  </si>
  <si>
    <t>0.7%</t>
  </si>
  <si>
    <t>57.1%</t>
  </si>
  <si>
    <t>25.5%</t>
  </si>
  <si>
    <t>25.4%</t>
  </si>
  <si>
    <t>24%</t>
  </si>
  <si>
    <t>Número meta de familias registradas en el Programa de Acompañar las Ausencias durante el 2023 / 12 (Mes en curso)</t>
  </si>
  <si>
    <t>29.2%</t>
  </si>
  <si>
    <t>ANUAL</t>
  </si>
  <si>
    <t>2. Economía Próspera</t>
  </si>
  <si>
    <t>O13. Proteger los derechos y ampliar las oportunidades de desarrollo de los grupos prioritarios</t>
  </si>
  <si>
    <t>1. Guadalajara próspera e incluyente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</si>
  <si>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</si>
  <si>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>E2.6 Generar condiciones para la impartición de asistencia social que propicie la restitución de derechos a las personas vulnerables</t>
  </si>
  <si>
    <t xml:space="preserve">L2.6.2 Asistencia, promoción y restitución de derechos a personas y grupos en condición de vulnerabilidad, mediante servicios de salud, nutrición, psicológicos y de habilidades para el trabajo. </t>
  </si>
  <si>
    <t>Promedio del porcentaje de cumplimiento de las metas de los programas que brindan servicios en los CDC durante 2023</t>
  </si>
  <si>
    <t>Mide el promedio del alcance de las metas de los programas que operan en los Centros de Desarrollo Comunitario en 2023</t>
  </si>
  <si>
    <t>Porcentaje de alcance de meta en trabajo social asistencial + en atención médica de primer nivel + en Asistencia Alimentaria y Nutrición + en Atención Odontológica + en Atención psicológica + en Educación preescolar + en Desarrollo de Habilidades + en comedores comunitarios + en laboratorio clínico, durante el 2023 / 9</t>
  </si>
  <si>
    <t>Porcentaje de alcance de meta en trabajo social asistencial + en atención médica de primer nivel + en Asistencia Alimentaria y Nutrición + en Atención Odontológica + en Atención psicológica + en Educación preescolar + en Desarrollo de Habilidades + en comedores comunitarios + en laboratorio clínico, durante el 2023</t>
  </si>
  <si>
    <t>Número de personas que recibieron servicio de consulta psicológica durante el 2023/12 (meses en curso)</t>
  </si>
  <si>
    <t>12 (meses en curso)</t>
  </si>
  <si>
    <t>Usuarios y usuarias de comedores comunitarios durante el 2023/ 12 (mes en curso)</t>
  </si>
  <si>
    <t>12 (mes en curso)</t>
  </si>
  <si>
    <t>Usuarios y usuarias que asistieron a talleres y cursos en 2023 / 12 (meses cursados)</t>
  </si>
  <si>
    <t>12 (meses cursados)</t>
  </si>
  <si>
    <t>Talleres realizados durante el 2023 / 12 (meses cursados)</t>
  </si>
  <si>
    <t>12 (Mes en curso)</t>
  </si>
  <si>
    <t>Mide el porcentaje de los familiares de personas desaparecidas  atendidas por el Programa Acompañar las Ausencias que asistieron a las sesiones grupales de acompañamiento, en 2023</t>
  </si>
  <si>
    <t>Número de familiares de personas desaparecidas que asistieron a las sesiones grupales de acompañamiento durante el 2023/ Número de familiares de personas desaparecidas que asistieron a las sesiones grupales de acompañamiento programadas para el 2023 *100</t>
  </si>
  <si>
    <t xml:space="preserve"> Número de familiares de personas desaparecidas que asistieron a las sesiones grupales de acompañamiento programadas para el 2023 *100</t>
  </si>
  <si>
    <t/>
  </si>
  <si>
    <t>cOMENTARIO</t>
  </si>
  <si>
    <t>SUBIDA</t>
  </si>
  <si>
    <t>Sin comentarios</t>
  </si>
  <si>
    <t>META ALCANZADA 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</si>
</sst>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24">
    <font>
      <sz val="11"/>
      <color theme="1"/>
      <name val="Calibri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Noto Sans Symbols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00"/>
      <name val="&quot;Google Sans Mono&quot;"/>
    </font>
    <font>
      <sz val="11"/>
      <color rgb="FF000000"/>
      <name val="Arial"/>
      <family val="2"/>
    </font>
    <font>
      <sz val="11"/>
      <color rgb="FF000000"/>
      <name val="Roboto"/>
    </font>
    <font>
      <b/>
      <sz val="13"/>
      <color theme="1"/>
      <name val="Arial"/>
      <family val="2"/>
    </font>
    <font>
      <sz val="11"/>
      <color rgb="FF000000"/>
      <name val="Roboto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b/>
      <sz val="12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CC0D9"/>
        <bgColor rgb="FFCCC0D9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9">
    <xf numFmtId="0" fontId="0" fillId="0" borderId="0" xfId="0" applyFont="1" applyAlignment="1"/>
    <xf numFmtId="0" fontId="6" fillId="2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textRotation="90" wrapText="1"/>
    </xf>
    <xf numFmtId="0" fontId="10" fillId="6" borderId="0" xfId="0" applyFont="1" applyFill="1" applyAlignment="1">
      <alignment horizontal="center" vertical="center" textRotation="90" wrapText="1"/>
    </xf>
    <xf numFmtId="0" fontId="7" fillId="6" borderId="4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4" fontId="7" fillId="6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9" fontId="12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4" fontId="15" fillId="7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4" fontId="12" fillId="0" borderId="17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4" fontId="12" fillId="0" borderId="17" xfId="0" applyNumberFormat="1" applyFont="1" applyBorder="1" applyAlignment="1">
      <alignment horizontal="center" vertical="center" wrapText="1"/>
    </xf>
    <xf numFmtId="3" fontId="14" fillId="7" borderId="4" xfId="0" applyNumberFormat="1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/>
    </xf>
    <xf numFmtId="3" fontId="12" fillId="7" borderId="4" xfId="0" applyNumberFormat="1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4" fontId="12" fillId="7" borderId="17" xfId="0" applyNumberFormat="1" applyFont="1" applyFill="1" applyBorder="1" applyAlignment="1">
      <alignment horizontal="center" vertical="center" wrapText="1"/>
    </xf>
    <xf numFmtId="4" fontId="12" fillId="7" borderId="4" xfId="0" applyNumberFormat="1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 wrapText="1"/>
    </xf>
    <xf numFmtId="3" fontId="17" fillId="7" borderId="4" xfId="0" applyNumberFormat="1" applyFont="1" applyFill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/>
    <xf numFmtId="0" fontId="2" fillId="2" borderId="1" xfId="0" applyFont="1" applyFill="1" applyBorder="1"/>
    <xf numFmtId="4" fontId="1" fillId="2" borderId="1" xfId="0" applyNumberFormat="1" applyFont="1" applyFill="1" applyBorder="1"/>
    <xf numFmtId="0" fontId="4" fillId="2" borderId="1" xfId="0" applyFont="1" applyFill="1" applyBorder="1"/>
    <xf numFmtId="0" fontId="6" fillId="2" borderId="0" xfId="0" applyFont="1" applyFill="1"/>
    <xf numFmtId="0" fontId="6" fillId="2" borderId="1" xfId="0" applyFont="1" applyFill="1" applyBorder="1"/>
    <xf numFmtId="4" fontId="6" fillId="2" borderId="1" xfId="0" applyNumberFormat="1" applyFont="1" applyFill="1" applyBorder="1"/>
    <xf numFmtId="0" fontId="8" fillId="2" borderId="1" xfId="0" applyFont="1" applyFill="1" applyBorder="1" applyAlignment="1">
      <alignment horizontal="left" vertical="center"/>
    </xf>
    <xf numFmtId="0" fontId="6" fillId="0" borderId="0" xfId="0" applyFont="1"/>
    <xf numFmtId="0" fontId="6" fillId="5" borderId="0" xfId="0" applyFont="1" applyFill="1"/>
    <xf numFmtId="0" fontId="6" fillId="5" borderId="1" xfId="0" applyFont="1" applyFill="1" applyBorder="1"/>
    <xf numFmtId="4" fontId="6" fillId="2" borderId="1" xfId="0" applyNumberFormat="1" applyFont="1" applyFill="1" applyBorder="1" applyAlignment="1">
      <alignment horizontal="center"/>
    </xf>
    <xf numFmtId="0" fontId="7" fillId="6" borderId="0" xfId="0" applyFont="1" applyFill="1" applyAlignment="1">
      <alignment horizontal="center" wrapText="1"/>
    </xf>
    <xf numFmtId="0" fontId="7" fillId="6" borderId="4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10" fontId="12" fillId="0" borderId="4" xfId="0" applyNumberFormat="1" applyFont="1" applyBorder="1" applyAlignment="1">
      <alignment horizontal="center" vertical="center" wrapText="1"/>
    </xf>
    <xf numFmtId="0" fontId="6" fillId="6" borderId="4" xfId="0" applyFont="1" applyFill="1" applyBorder="1" applyAlignment="1"/>
    <xf numFmtId="0" fontId="14" fillId="7" borderId="0" xfId="0" applyFont="1" applyFill="1" applyAlignment="1">
      <alignment horizontal="center" wrapText="1"/>
    </xf>
    <xf numFmtId="0" fontId="6" fillId="7" borderId="15" xfId="0" applyFont="1" applyFill="1" applyBorder="1" applyAlignment="1"/>
    <xf numFmtId="0" fontId="6" fillId="2" borderId="0" xfId="0" applyFont="1" applyFill="1" applyAlignment="1">
      <alignment horizontal="left"/>
    </xf>
    <xf numFmtId="0" fontId="6" fillId="7" borderId="16" xfId="0" applyFont="1" applyFill="1" applyBorder="1" applyAlignment="1"/>
    <xf numFmtId="0" fontId="6" fillId="7" borderId="18" xfId="0" applyFont="1" applyFill="1" applyBorder="1" applyAlignment="1"/>
    <xf numFmtId="0" fontId="6" fillId="6" borderId="4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/>
    </xf>
    <xf numFmtId="0" fontId="12" fillId="0" borderId="4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3" fontId="12" fillId="0" borderId="7" xfId="0" applyNumberFormat="1" applyFont="1" applyBorder="1" applyAlignment="1">
      <alignment horizontal="center" wrapText="1"/>
    </xf>
    <xf numFmtId="3" fontId="12" fillId="0" borderId="7" xfId="0" applyNumberFormat="1" applyFont="1" applyBorder="1" applyAlignment="1">
      <alignment horizontal="center" wrapText="1"/>
    </xf>
    <xf numFmtId="2" fontId="12" fillId="0" borderId="7" xfId="0" applyNumberFormat="1" applyFont="1" applyBorder="1" applyAlignment="1">
      <alignment horizontal="center" wrapText="1"/>
    </xf>
    <xf numFmtId="4" fontId="12" fillId="0" borderId="7" xfId="0" applyNumberFormat="1" applyFont="1" applyBorder="1" applyAlignment="1">
      <alignment horizontal="center" wrapText="1"/>
    </xf>
    <xf numFmtId="0" fontId="6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left"/>
    </xf>
    <xf numFmtId="0" fontId="2" fillId="0" borderId="0" xfId="0" applyFont="1"/>
    <xf numFmtId="0" fontId="4" fillId="3" borderId="4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" fillId="0" borderId="4" xfId="0" applyFont="1" applyBorder="1"/>
    <xf numFmtId="0" fontId="1" fillId="0" borderId="0" xfId="0" applyFont="1"/>
    <xf numFmtId="0" fontId="3" fillId="0" borderId="0" xfId="0" applyFont="1" applyAlignment="1"/>
    <xf numFmtId="0" fontId="3" fillId="0" borderId="0" xfId="0" applyFont="1"/>
    <xf numFmtId="4" fontId="3" fillId="0" borderId="0" xfId="0" applyNumberFormat="1" applyFont="1"/>
    <xf numFmtId="0" fontId="13" fillId="7" borderId="0" xfId="0" applyFont="1" applyFill="1"/>
    <xf numFmtId="0" fontId="3" fillId="0" borderId="0" xfId="0" applyFont="1" applyAlignment="1">
      <alignment wrapText="1"/>
    </xf>
    <xf numFmtId="0" fontId="18" fillId="8" borderId="0" xfId="0" applyFont="1" applyFill="1" applyAlignment="1">
      <alignment horizont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8" borderId="0" xfId="0" applyFont="1" applyFill="1" applyAlignment="1">
      <alignment horizontal="center" vertical="center"/>
    </xf>
    <xf numFmtId="10" fontId="3" fillId="0" borderId="0" xfId="0" applyNumberFormat="1" applyFont="1"/>
    <xf numFmtId="0" fontId="11" fillId="6" borderId="14" xfId="0" applyFont="1" applyFill="1" applyBorder="1" applyAlignment="1">
      <alignment horizontal="center" wrapText="1"/>
    </xf>
    <xf numFmtId="0" fontId="11" fillId="6" borderId="0" xfId="0" applyFont="1" applyFill="1" applyAlignment="1">
      <alignment horizontal="center" wrapText="1"/>
    </xf>
    <xf numFmtId="0" fontId="11" fillId="6" borderId="0" xfId="0" applyFont="1" applyFill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3" fontId="13" fillId="7" borderId="0" xfId="0" applyNumberFormat="1" applyFont="1" applyFill="1" applyAlignment="1"/>
    <xf numFmtId="9" fontId="12" fillId="0" borderId="4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/>
    <xf numFmtId="4" fontId="1" fillId="0" borderId="7" xfId="0" applyNumberFormat="1" applyFont="1" applyBorder="1"/>
    <xf numFmtId="4" fontId="12" fillId="0" borderId="4" xfId="0" applyNumberFormat="1" applyFont="1" applyBorder="1" applyAlignment="1">
      <alignment horizontal="center" vertical="center"/>
    </xf>
    <xf numFmtId="4" fontId="12" fillId="7" borderId="4" xfId="0" applyNumberFormat="1" applyFont="1" applyFill="1" applyBorder="1" applyAlignment="1">
      <alignment horizontal="center" vertical="center" wrapText="1"/>
    </xf>
    <xf numFmtId="4" fontId="12" fillId="0" borderId="4" xfId="0" applyNumberFormat="1" applyFont="1" applyBorder="1" applyAlignment="1"/>
    <xf numFmtId="4" fontId="1" fillId="0" borderId="7" xfId="0" applyNumberFormat="1" applyFont="1" applyBorder="1" applyAlignment="1"/>
    <xf numFmtId="10" fontId="11" fillId="0" borderId="0" xfId="0" applyNumberFormat="1" applyFont="1" applyAlignment="1">
      <alignment horizontal="center" wrapText="1"/>
    </xf>
    <xf numFmtId="10" fontId="1" fillId="0" borderId="0" xfId="0" applyNumberFormat="1" applyFont="1"/>
    <xf numFmtId="10" fontId="12" fillId="0" borderId="0" xfId="0" applyNumberFormat="1" applyFont="1" applyAlignment="1">
      <alignment horizontal="center" vertical="center" wrapText="1"/>
    </xf>
    <xf numFmtId="0" fontId="6" fillId="5" borderId="15" xfId="0" applyFont="1" applyFill="1" applyBorder="1" applyAlignment="1"/>
    <xf numFmtId="0" fontId="6" fillId="5" borderId="0" xfId="0" applyFont="1" applyFill="1" applyAlignment="1">
      <alignment horizontal="left"/>
    </xf>
    <xf numFmtId="0" fontId="7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4" fontId="15" fillId="5" borderId="4" xfId="0" applyNumberFormat="1" applyFont="1" applyFill="1" applyBorder="1" applyAlignment="1">
      <alignment horizontal="center" vertical="center" wrapText="1"/>
    </xf>
    <xf numFmtId="4" fontId="12" fillId="5" borderId="4" xfId="0" applyNumberFormat="1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4" fontId="12" fillId="5" borderId="4" xfId="0" applyNumberFormat="1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6" fillId="5" borderId="16" xfId="0" applyFont="1" applyFill="1" applyBorder="1" applyAlignment="1"/>
    <xf numFmtId="3" fontId="12" fillId="5" borderId="4" xfId="0" applyNumberFormat="1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 wrapText="1"/>
    </xf>
    <xf numFmtId="0" fontId="6" fillId="0" borderId="16" xfId="0" applyFont="1" applyBorder="1" applyAlignment="1"/>
    <xf numFmtId="0" fontId="6" fillId="0" borderId="0" xfId="0" applyFont="1" applyAlignment="1">
      <alignment horizontal="left"/>
    </xf>
    <xf numFmtId="0" fontId="7" fillId="0" borderId="4" xfId="0" applyFont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4" fontId="12" fillId="5" borderId="4" xfId="0" applyNumberFormat="1" applyFont="1" applyFill="1" applyBorder="1" applyAlignment="1">
      <alignment horizontal="center" vertical="center" wrapText="1"/>
    </xf>
    <xf numFmtId="10" fontId="12" fillId="5" borderId="0" xfId="0" applyNumberFormat="1" applyFont="1" applyFill="1" applyAlignment="1">
      <alignment horizontal="center" vertical="center" wrapText="1"/>
    </xf>
    <xf numFmtId="0" fontId="12" fillId="0" borderId="7" xfId="0" applyFont="1" applyBorder="1" applyAlignment="1">
      <alignment horizontal="center" wrapText="1"/>
    </xf>
    <xf numFmtId="0" fontId="13" fillId="7" borderId="0" xfId="0" applyFont="1" applyFill="1"/>
    <xf numFmtId="0" fontId="20" fillId="0" borderId="0" xfId="0" applyFont="1"/>
    <xf numFmtId="0" fontId="3" fillId="0" borderId="0" xfId="0" applyFont="1" applyAlignment="1">
      <alignment wrapText="1"/>
    </xf>
    <xf numFmtId="0" fontId="21" fillId="0" borderId="0" xfId="0" applyFont="1"/>
    <xf numFmtId="0" fontId="3" fillId="0" borderId="0" xfId="0" applyFont="1"/>
    <xf numFmtId="0" fontId="1" fillId="9" borderId="0" xfId="0" applyFont="1" applyFill="1" applyAlignment="1">
      <alignment wrapText="1"/>
    </xf>
    <xf numFmtId="0" fontId="1" fillId="7" borderId="0" xfId="0" applyFont="1" applyFill="1" applyAlignment="1"/>
    <xf numFmtId="0" fontId="1" fillId="7" borderId="0" xfId="0" applyFont="1" applyFill="1" applyAlignment="1"/>
    <xf numFmtId="0" fontId="1" fillId="10" borderId="0" xfId="0" applyFont="1" applyFill="1"/>
    <xf numFmtId="0" fontId="1" fillId="7" borderId="0" xfId="0" applyFont="1" applyFill="1"/>
    <xf numFmtId="0" fontId="1" fillId="10" borderId="0" xfId="0" applyFont="1" applyFill="1" applyAlignment="1"/>
    <xf numFmtId="0" fontId="1" fillId="7" borderId="0" xfId="0" applyFont="1" applyFill="1" applyAlignment="1"/>
    <xf numFmtId="0" fontId="3" fillId="0" borderId="0" xfId="0" applyFont="1" applyAlignment="1">
      <alignment wrapText="1"/>
    </xf>
    <xf numFmtId="0" fontId="1" fillId="10" borderId="0" xfId="0" applyFont="1" applyFill="1" applyAlignment="1"/>
    <xf numFmtId="0" fontId="22" fillId="0" borderId="0" xfId="0" applyFont="1" applyAlignment="1">
      <alignment wrapText="1"/>
    </xf>
    <xf numFmtId="0" fontId="1" fillId="5" borderId="0" xfId="0" applyFont="1" applyFill="1" applyAlignment="1"/>
    <xf numFmtId="4" fontId="23" fillId="6" borderId="4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5" fillId="0" borderId="6" xfId="0" applyFont="1" applyBorder="1"/>
    <xf numFmtId="0" fontId="5" fillId="0" borderId="7" xfId="0" applyFont="1" applyBorder="1"/>
    <xf numFmtId="8" fontId="6" fillId="0" borderId="6" xfId="0" applyNumberFormat="1" applyFont="1" applyBorder="1" applyAlignment="1">
      <alignment horizontal="left" vertical="center"/>
    </xf>
    <xf numFmtId="164" fontId="6" fillId="2" borderId="5" xfId="0" applyNumberFormat="1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 vertical="center" textRotation="90" wrapText="1"/>
    </xf>
    <xf numFmtId="0" fontId="5" fillId="0" borderId="9" xfId="0" applyFont="1" applyBorder="1"/>
    <xf numFmtId="0" fontId="10" fillId="6" borderId="8" xfId="0" applyFont="1" applyFill="1" applyBorder="1" applyAlignment="1">
      <alignment horizontal="center" vertical="center" textRotation="90" wrapText="1"/>
    </xf>
    <xf numFmtId="0" fontId="5" fillId="0" borderId="10" xfId="0" applyFont="1" applyBorder="1"/>
    <xf numFmtId="0" fontId="4" fillId="2" borderId="2" xfId="0" applyFont="1" applyFill="1" applyBorder="1" applyAlignment="1">
      <alignment horizontal="center"/>
    </xf>
    <xf numFmtId="0" fontId="5" fillId="0" borderId="3" xfId="0" applyFont="1" applyBorder="1"/>
    <xf numFmtId="0" fontId="7" fillId="0" borderId="5" xfId="0" applyFont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5" fillId="0" borderId="21" xfId="0" applyFont="1" applyBorder="1"/>
    <xf numFmtId="0" fontId="5" fillId="0" borderId="22" xfId="0" applyFont="1" applyBorder="1"/>
    <xf numFmtId="0" fontId="6" fillId="2" borderId="5" xfId="0" applyFont="1" applyFill="1" applyBorder="1" applyAlignment="1">
      <alignment horizontal="left" wrapText="1"/>
    </xf>
    <xf numFmtId="0" fontId="1" fillId="0" borderId="0" xfId="0" applyFont="1"/>
    <xf numFmtId="0" fontId="0" fillId="0" borderId="0" xfId="0" applyFont="1" applyAlignment="1"/>
  </cellXfs>
  <cellStyles count="1">
    <cellStyle name="Normal" xfId="0" builtinId="0"/>
  </cellStyles>
  <dxfs count="7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2">
    <tableStyle name="Subida-style" pivot="0" count="3">
      <tableStyleElement type="headerRow" dxfId="6"/>
      <tableStyleElement type="firstRowStripe" dxfId="5"/>
      <tableStyleElement type="secondRowStripe" dxfId="4"/>
    </tableStyle>
    <tableStyle name="finproposito-style" pivot="0" count="3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Z1000" headerRowCount="0">
  <tableColumns count="26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</tableColumns>
  <tableStyleInfo name="Subida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id="2" name="Table_2" displayName="Table_2" ref="A1:Z1000" headerRowCount="0">
  <tableColumns count="26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</tableColumns>
  <tableStyleInfo name="finproposito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48"/>
  <sheetViews>
    <sheetView tabSelected="1" topLeftCell="A36" zoomScale="46" zoomScaleNormal="46" workbookViewId="0">
      <selection activeCell="P47" sqref="P47"/>
    </sheetView>
  </sheetViews>
  <sheetFormatPr baseColWidth="10" defaultColWidth="14.42578125" defaultRowHeight="15" customHeight="1"/>
  <cols>
    <col min="1" max="1" width="7" customWidth="1"/>
    <col min="2" max="2" width="17.85546875" customWidth="1"/>
    <col min="3" max="3" width="51.28515625" customWidth="1"/>
    <col min="4" max="4" width="25.140625" customWidth="1"/>
    <col min="5" max="5" width="26.85546875" customWidth="1"/>
    <col min="6" max="6" width="22.5703125" customWidth="1"/>
    <col min="7" max="7" width="21.7109375" customWidth="1"/>
    <col min="8" max="8" width="21.140625" customWidth="1"/>
    <col min="9" max="9" width="29" customWidth="1"/>
    <col min="10" max="10" width="25.5703125" customWidth="1"/>
    <col min="11" max="11" width="29.85546875" customWidth="1"/>
    <col min="12" max="12" width="20.85546875" customWidth="1"/>
    <col min="13" max="13" width="21.28515625" customWidth="1"/>
    <col min="14" max="14" width="19.5703125" customWidth="1"/>
    <col min="15" max="15" width="19.42578125" customWidth="1"/>
    <col min="16" max="16" width="18.5703125" customWidth="1"/>
    <col min="17" max="17" width="23" customWidth="1"/>
    <col min="18" max="18" width="18.85546875" customWidth="1"/>
  </cols>
  <sheetData>
    <row r="1" spans="1:18" ht="15.75">
      <c r="A1" s="49"/>
      <c r="B1" s="50"/>
      <c r="C1" s="50"/>
      <c r="D1" s="51"/>
      <c r="E1" s="51"/>
      <c r="F1" s="51"/>
      <c r="G1" s="51"/>
      <c r="H1" s="51"/>
      <c r="I1" s="50"/>
      <c r="J1" s="52"/>
      <c r="K1" s="52"/>
      <c r="L1" s="50"/>
      <c r="M1" s="50"/>
      <c r="N1" s="52"/>
      <c r="O1" s="52"/>
      <c r="P1" s="52"/>
      <c r="Q1" s="50"/>
      <c r="R1" s="50"/>
    </row>
    <row r="2" spans="1:18" ht="15.75">
      <c r="A2" s="49"/>
      <c r="B2" s="50"/>
      <c r="C2" s="50"/>
      <c r="D2" s="51"/>
      <c r="E2" s="51"/>
      <c r="F2" s="51"/>
      <c r="G2" s="51"/>
      <c r="H2" s="51"/>
      <c r="I2" s="50"/>
      <c r="J2" s="52"/>
      <c r="K2" s="52"/>
      <c r="L2" s="50"/>
      <c r="M2" s="50"/>
      <c r="N2" s="52"/>
      <c r="O2" s="52"/>
      <c r="P2" s="52"/>
      <c r="Q2" s="50"/>
      <c r="R2" s="50"/>
    </row>
    <row r="3" spans="1:18" ht="15.75">
      <c r="A3" s="49"/>
      <c r="B3" s="50"/>
      <c r="C3" s="50"/>
      <c r="D3" s="51"/>
      <c r="E3" s="51"/>
      <c r="F3" s="51"/>
      <c r="G3" s="51"/>
      <c r="H3" s="51"/>
      <c r="I3" s="50"/>
      <c r="J3" s="52"/>
      <c r="K3" s="52"/>
      <c r="L3" s="50"/>
      <c r="M3" s="50"/>
      <c r="N3" s="52"/>
      <c r="O3" s="52"/>
      <c r="P3" s="52"/>
      <c r="Q3" s="50"/>
      <c r="R3" s="50"/>
    </row>
    <row r="4" spans="1:18" ht="15.75">
      <c r="A4" s="49"/>
      <c r="B4" s="50"/>
      <c r="C4" s="50"/>
      <c r="D4" s="165" t="s">
        <v>0</v>
      </c>
      <c r="E4" s="166"/>
      <c r="F4" s="166"/>
      <c r="G4" s="166"/>
      <c r="H4" s="166"/>
      <c r="I4" s="50"/>
      <c r="J4" s="52"/>
      <c r="K4" s="52"/>
      <c r="L4" s="50"/>
      <c r="M4" s="50"/>
      <c r="N4" s="52"/>
      <c r="O4" s="52"/>
      <c r="P4" s="52"/>
      <c r="Q4" s="50"/>
      <c r="R4" s="50"/>
    </row>
    <row r="5" spans="1:18" ht="15.75">
      <c r="A5" s="49"/>
      <c r="B5" s="50"/>
      <c r="C5" s="50"/>
      <c r="D5" s="165" t="s">
        <v>1</v>
      </c>
      <c r="E5" s="166"/>
      <c r="F5" s="166"/>
      <c r="G5" s="166"/>
      <c r="H5" s="166"/>
      <c r="I5" s="50"/>
      <c r="J5" s="52"/>
      <c r="K5" s="52"/>
      <c r="L5" s="50"/>
      <c r="M5" s="50"/>
      <c r="N5" s="52"/>
      <c r="O5" s="52"/>
      <c r="P5" s="52"/>
      <c r="Q5" s="50"/>
      <c r="R5" s="50"/>
    </row>
    <row r="6" spans="1:18" ht="15.75">
      <c r="A6" s="49"/>
      <c r="B6" s="50"/>
      <c r="C6" s="50"/>
      <c r="D6" s="165" t="s">
        <v>2</v>
      </c>
      <c r="E6" s="166"/>
      <c r="F6" s="166"/>
      <c r="G6" s="166"/>
      <c r="H6" s="166"/>
      <c r="I6" s="50"/>
      <c r="J6" s="52"/>
      <c r="K6" s="52"/>
      <c r="L6" s="50"/>
      <c r="M6" s="50"/>
      <c r="N6" s="52"/>
      <c r="O6" s="52"/>
      <c r="P6" s="52"/>
      <c r="Q6" s="50"/>
      <c r="R6" s="50"/>
    </row>
    <row r="7" spans="1:18" ht="15.75">
      <c r="A7" s="49"/>
      <c r="B7" s="50"/>
      <c r="C7" s="50"/>
      <c r="D7" s="165"/>
      <c r="E7" s="166"/>
      <c r="F7" s="166"/>
      <c r="G7" s="166"/>
      <c r="H7" s="166"/>
      <c r="I7" s="50"/>
      <c r="J7" s="52"/>
      <c r="K7" s="52"/>
      <c r="L7" s="50"/>
      <c r="M7" s="50"/>
      <c r="N7" s="52"/>
      <c r="O7" s="52"/>
      <c r="P7" s="52"/>
      <c r="Q7" s="50"/>
      <c r="R7" s="50"/>
    </row>
    <row r="8" spans="1:18" ht="15.75">
      <c r="A8" s="49"/>
      <c r="B8" s="50"/>
      <c r="C8" s="50"/>
      <c r="D8" s="53"/>
      <c r="E8" s="53"/>
      <c r="F8" s="53"/>
      <c r="G8" s="53"/>
      <c r="H8" s="53"/>
      <c r="I8" s="50"/>
      <c r="J8" s="52"/>
      <c r="K8" s="52"/>
      <c r="L8" s="50"/>
      <c r="M8" s="50"/>
      <c r="N8" s="52"/>
      <c r="O8" s="52"/>
      <c r="P8" s="52"/>
      <c r="Q8" s="50"/>
      <c r="R8" s="50"/>
    </row>
    <row r="9" spans="1:18" ht="15.75">
      <c r="A9" s="49"/>
      <c r="B9" s="50"/>
      <c r="C9" s="50"/>
      <c r="D9" s="51"/>
      <c r="E9" s="51"/>
      <c r="F9" s="51"/>
      <c r="G9" s="51"/>
      <c r="H9" s="51"/>
      <c r="I9" s="50"/>
      <c r="J9" s="52"/>
      <c r="K9" s="52"/>
      <c r="L9" s="50"/>
      <c r="M9" s="50"/>
      <c r="N9" s="52"/>
      <c r="O9" s="52"/>
      <c r="P9" s="52"/>
      <c r="Q9" s="50"/>
      <c r="R9" s="50"/>
    </row>
    <row r="10" spans="1:18" ht="15.75">
      <c r="A10" s="49"/>
      <c r="B10" s="50"/>
      <c r="C10" s="50"/>
      <c r="D10" s="51"/>
      <c r="E10" s="51"/>
      <c r="F10" s="51"/>
      <c r="G10" s="51"/>
      <c r="H10" s="51"/>
      <c r="I10" s="50"/>
      <c r="J10" s="52"/>
      <c r="K10" s="52"/>
      <c r="L10" s="50"/>
      <c r="M10" s="50"/>
      <c r="N10" s="52"/>
      <c r="O10" s="52"/>
      <c r="P10" s="52"/>
      <c r="Q10" s="50"/>
      <c r="R10" s="50"/>
    </row>
    <row r="11" spans="1:18" ht="15.75">
      <c r="A11" s="49"/>
      <c r="B11" s="50"/>
      <c r="C11" s="50"/>
      <c r="D11" s="51"/>
      <c r="E11" s="51"/>
      <c r="F11" s="51"/>
      <c r="G11" s="51"/>
      <c r="H11" s="51"/>
      <c r="I11" s="50"/>
      <c r="J11" s="52"/>
      <c r="K11" s="52"/>
      <c r="L11" s="50"/>
      <c r="M11" s="50"/>
      <c r="N11" s="52"/>
      <c r="O11" s="52"/>
      <c r="P11" s="52"/>
      <c r="Q11" s="50"/>
      <c r="R11" s="50"/>
    </row>
    <row r="12" spans="1:18" ht="15.75">
      <c r="A12" s="54"/>
      <c r="B12" s="55"/>
      <c r="C12" s="55"/>
      <c r="D12" s="55"/>
      <c r="E12" s="55"/>
      <c r="F12" s="55"/>
      <c r="G12" s="55"/>
      <c r="H12" s="55"/>
      <c r="I12" s="55"/>
      <c r="J12" s="56"/>
      <c r="K12" s="56"/>
      <c r="L12" s="55"/>
      <c r="M12" s="55"/>
      <c r="N12" s="56"/>
      <c r="O12" s="56"/>
      <c r="P12" s="56"/>
      <c r="Q12" s="55"/>
      <c r="R12" s="55"/>
    </row>
    <row r="13" spans="1:18" ht="15.75">
      <c r="A13" s="54"/>
      <c r="B13" s="55"/>
      <c r="C13" s="2" t="s">
        <v>3</v>
      </c>
      <c r="D13" s="167" t="s">
        <v>4</v>
      </c>
      <c r="E13" s="157"/>
      <c r="F13" s="157"/>
      <c r="G13" s="157"/>
      <c r="H13" s="158"/>
      <c r="I13" s="1"/>
      <c r="J13" s="56"/>
      <c r="K13" s="56"/>
      <c r="L13" s="55"/>
      <c r="M13" s="55"/>
      <c r="N13" s="56"/>
      <c r="O13" s="56"/>
      <c r="P13" s="56"/>
      <c r="Q13" s="55"/>
      <c r="R13" s="55"/>
    </row>
    <row r="14" spans="1:18" ht="15.75">
      <c r="A14" s="54"/>
      <c r="B14" s="55"/>
      <c r="C14" s="2" t="s">
        <v>5</v>
      </c>
      <c r="D14" s="156" t="s">
        <v>6</v>
      </c>
      <c r="E14" s="157"/>
      <c r="F14" s="157"/>
      <c r="G14" s="157"/>
      <c r="H14" s="158"/>
      <c r="I14" s="57" t="s">
        <v>7</v>
      </c>
      <c r="J14" s="56"/>
      <c r="K14" s="56"/>
      <c r="L14" s="55"/>
      <c r="M14" s="55"/>
      <c r="N14" s="56"/>
      <c r="O14" s="56"/>
      <c r="P14" s="56"/>
      <c r="Q14" s="55"/>
      <c r="R14" s="55"/>
    </row>
    <row r="15" spans="1:18" ht="15.75">
      <c r="A15" s="54"/>
      <c r="B15" s="55"/>
      <c r="C15" s="2" t="s">
        <v>8</v>
      </c>
      <c r="D15" s="156" t="s">
        <v>9</v>
      </c>
      <c r="E15" s="157"/>
      <c r="F15" s="157"/>
      <c r="G15" s="157"/>
      <c r="H15" s="158"/>
      <c r="I15" s="57" t="s">
        <v>7</v>
      </c>
      <c r="J15" s="56"/>
      <c r="K15" s="56"/>
      <c r="L15" s="55"/>
      <c r="M15" s="55"/>
      <c r="N15" s="56"/>
      <c r="O15" s="56"/>
      <c r="P15" s="56"/>
      <c r="Q15" s="55"/>
      <c r="R15" s="55"/>
    </row>
    <row r="16" spans="1:18" ht="60">
      <c r="A16" s="54"/>
      <c r="B16" s="55"/>
      <c r="C16" s="2" t="s">
        <v>10</v>
      </c>
      <c r="D16" s="156" t="s">
        <v>11</v>
      </c>
      <c r="E16" s="157"/>
      <c r="F16" s="157"/>
      <c r="G16" s="157"/>
      <c r="H16" s="158"/>
      <c r="I16" s="3" t="s">
        <v>12</v>
      </c>
      <c r="J16" s="56"/>
      <c r="K16" s="56"/>
      <c r="L16" s="55"/>
      <c r="M16" s="55"/>
      <c r="N16" s="56"/>
      <c r="O16" s="56"/>
      <c r="P16" s="56"/>
      <c r="Q16" s="55"/>
      <c r="R16" s="55"/>
    </row>
    <row r="17" spans="1:18" ht="15.75">
      <c r="A17" s="54"/>
      <c r="B17" s="55"/>
      <c r="C17" s="2" t="s">
        <v>13</v>
      </c>
      <c r="D17" s="156" t="s">
        <v>14</v>
      </c>
      <c r="E17" s="157"/>
      <c r="F17" s="157"/>
      <c r="G17" s="157"/>
      <c r="H17" s="158"/>
      <c r="I17" s="57" t="s">
        <v>7</v>
      </c>
      <c r="J17" s="56"/>
      <c r="K17" s="56"/>
      <c r="L17" s="55"/>
      <c r="M17" s="55"/>
      <c r="N17" s="56"/>
      <c r="O17" s="56"/>
      <c r="P17" s="56"/>
      <c r="Q17" s="55"/>
      <c r="R17" s="55"/>
    </row>
    <row r="18" spans="1:18" ht="15.75">
      <c r="A18" s="58"/>
      <c r="B18" s="58"/>
      <c r="C18" s="2" t="s">
        <v>15</v>
      </c>
      <c r="D18" s="156" t="s">
        <v>16</v>
      </c>
      <c r="E18" s="157"/>
      <c r="F18" s="157"/>
      <c r="G18" s="157"/>
      <c r="H18" s="158"/>
      <c r="I18" s="57" t="s">
        <v>7</v>
      </c>
      <c r="J18" s="56"/>
      <c r="K18" s="56"/>
      <c r="L18" s="55"/>
      <c r="M18" s="55"/>
      <c r="N18" s="56"/>
      <c r="O18" s="56"/>
      <c r="P18" s="56"/>
      <c r="Q18" s="55"/>
      <c r="R18" s="55"/>
    </row>
    <row r="19" spans="1:18" ht="15.75" hidden="1">
      <c r="A19" s="59"/>
      <c r="B19" s="60"/>
      <c r="C19" s="2" t="s">
        <v>17</v>
      </c>
      <c r="D19" s="156"/>
      <c r="E19" s="157"/>
      <c r="F19" s="157"/>
      <c r="G19" s="157"/>
      <c r="H19" s="158"/>
      <c r="I19" s="1"/>
      <c r="J19" s="56"/>
      <c r="K19" s="56"/>
      <c r="L19" s="55"/>
      <c r="M19" s="55"/>
      <c r="N19" s="56"/>
      <c r="O19" s="56"/>
      <c r="P19" s="56"/>
      <c r="Q19" s="55"/>
      <c r="R19" s="55"/>
    </row>
    <row r="20" spans="1:18" ht="15.75">
      <c r="C20" s="2" t="s">
        <v>17</v>
      </c>
      <c r="D20" s="156" t="s">
        <v>18</v>
      </c>
      <c r="E20" s="157"/>
      <c r="F20" s="157"/>
      <c r="G20" s="157"/>
      <c r="H20" s="158"/>
      <c r="I20" s="57" t="s">
        <v>7</v>
      </c>
      <c r="J20" s="56"/>
      <c r="K20" s="56"/>
      <c r="L20" s="55"/>
      <c r="M20" s="55"/>
      <c r="N20" s="56"/>
      <c r="O20" s="56"/>
      <c r="P20" s="56"/>
      <c r="Q20" s="55"/>
      <c r="R20" s="55"/>
    </row>
    <row r="21" spans="1:18" ht="15.75">
      <c r="A21" s="4"/>
      <c r="B21" s="161" t="s">
        <v>19</v>
      </c>
      <c r="C21" s="2" t="s">
        <v>20</v>
      </c>
      <c r="D21" s="156" t="s">
        <v>21</v>
      </c>
      <c r="E21" s="157"/>
      <c r="F21" s="157"/>
      <c r="G21" s="157"/>
      <c r="H21" s="158"/>
      <c r="I21" s="57" t="s">
        <v>7</v>
      </c>
      <c r="K21" s="56"/>
      <c r="L21" s="55"/>
      <c r="M21" s="55"/>
      <c r="N21" s="56"/>
      <c r="O21" s="56"/>
      <c r="P21" s="56"/>
      <c r="Q21" s="55"/>
      <c r="R21" s="55"/>
    </row>
    <row r="22" spans="1:18" ht="15.75">
      <c r="A22" s="4"/>
      <c r="B22" s="162"/>
      <c r="C22" s="2" t="s">
        <v>22</v>
      </c>
      <c r="D22" s="156" t="s">
        <v>23</v>
      </c>
      <c r="E22" s="157"/>
      <c r="F22" s="157"/>
      <c r="G22" s="157"/>
      <c r="H22" s="158"/>
      <c r="I22" s="57" t="s">
        <v>7</v>
      </c>
      <c r="J22" s="56"/>
      <c r="K22" s="56"/>
      <c r="L22" s="55"/>
      <c r="M22" s="55"/>
      <c r="N22" s="56"/>
      <c r="O22" s="56"/>
      <c r="P22" s="56"/>
      <c r="Q22" s="55"/>
      <c r="R22" s="55"/>
    </row>
    <row r="23" spans="1:18" ht="15.75">
      <c r="A23" s="5"/>
      <c r="B23" s="163" t="s">
        <v>24</v>
      </c>
      <c r="C23" s="2" t="s">
        <v>25</v>
      </c>
      <c r="D23" s="156" t="s">
        <v>26</v>
      </c>
      <c r="E23" s="157"/>
      <c r="F23" s="157"/>
      <c r="G23" s="157"/>
      <c r="H23" s="158"/>
      <c r="I23" s="57" t="s">
        <v>7</v>
      </c>
      <c r="J23" s="56"/>
      <c r="K23" s="56"/>
      <c r="L23" s="55"/>
      <c r="M23" s="55"/>
      <c r="N23" s="56"/>
      <c r="O23" s="56"/>
      <c r="P23" s="56"/>
      <c r="Q23" s="55"/>
      <c r="R23" s="55"/>
    </row>
    <row r="24" spans="1:18" ht="31.5">
      <c r="A24" s="5"/>
      <c r="B24" s="164"/>
      <c r="C24" s="2" t="s">
        <v>27</v>
      </c>
      <c r="D24" s="156" t="s">
        <v>28</v>
      </c>
      <c r="E24" s="157"/>
      <c r="F24" s="157"/>
      <c r="G24" s="157"/>
      <c r="H24" s="158"/>
      <c r="I24" s="57" t="s">
        <v>7</v>
      </c>
      <c r="J24" s="56"/>
      <c r="K24" s="56"/>
      <c r="L24" s="55"/>
      <c r="M24" s="55"/>
      <c r="N24" s="56"/>
      <c r="O24" s="56"/>
      <c r="P24" s="56"/>
      <c r="Q24" s="55"/>
      <c r="R24" s="55"/>
    </row>
    <row r="25" spans="1:18" ht="15.75">
      <c r="A25" s="5"/>
      <c r="B25" s="163" t="s">
        <v>29</v>
      </c>
      <c r="C25" s="2" t="s">
        <v>30</v>
      </c>
      <c r="D25" s="156" t="s">
        <v>31</v>
      </c>
      <c r="E25" s="157"/>
      <c r="F25" s="157"/>
      <c r="G25" s="157"/>
      <c r="H25" s="158"/>
      <c r="I25" s="57" t="s">
        <v>7</v>
      </c>
      <c r="J25" s="56"/>
      <c r="K25" s="56"/>
      <c r="L25" s="55"/>
      <c r="M25" s="55"/>
      <c r="N25" s="56"/>
      <c r="O25" s="56"/>
      <c r="P25" s="56"/>
      <c r="Q25" s="55"/>
      <c r="R25" s="55"/>
    </row>
    <row r="26" spans="1:18" ht="15.75">
      <c r="A26" s="5"/>
      <c r="B26" s="162"/>
      <c r="C26" s="2" t="s">
        <v>32</v>
      </c>
      <c r="D26" s="156" t="s">
        <v>33</v>
      </c>
      <c r="E26" s="157"/>
      <c r="F26" s="157"/>
      <c r="G26" s="157"/>
      <c r="H26" s="158"/>
      <c r="I26" s="57" t="s">
        <v>7</v>
      </c>
      <c r="J26" s="56"/>
      <c r="K26" s="56"/>
      <c r="L26" s="55"/>
      <c r="M26" s="55"/>
      <c r="N26" s="56"/>
      <c r="O26" s="56"/>
      <c r="P26" s="56"/>
      <c r="Q26" s="55"/>
      <c r="R26" s="55"/>
    </row>
    <row r="27" spans="1:18" ht="15.75">
      <c r="A27" s="5"/>
      <c r="B27" s="162"/>
      <c r="C27" s="2" t="s">
        <v>34</v>
      </c>
      <c r="D27" s="156" t="s">
        <v>35</v>
      </c>
      <c r="E27" s="157"/>
      <c r="F27" s="157"/>
      <c r="G27" s="157"/>
      <c r="H27" s="158"/>
      <c r="I27" s="57" t="s">
        <v>7</v>
      </c>
      <c r="J27" s="56"/>
      <c r="K27" s="56"/>
      <c r="L27" s="55"/>
      <c r="M27" s="55"/>
      <c r="N27" s="56"/>
      <c r="O27" s="56"/>
      <c r="P27" s="56"/>
      <c r="Q27" s="55"/>
      <c r="R27" s="55"/>
    </row>
    <row r="28" spans="1:18" ht="15.75">
      <c r="A28" s="5"/>
      <c r="B28" s="162"/>
      <c r="C28" s="2" t="s">
        <v>36</v>
      </c>
      <c r="D28" s="156" t="s">
        <v>37</v>
      </c>
      <c r="E28" s="157"/>
      <c r="F28" s="157"/>
      <c r="G28" s="157"/>
      <c r="H28" s="158"/>
      <c r="I28" s="55"/>
      <c r="J28" s="56"/>
      <c r="K28" s="56"/>
      <c r="L28" s="55"/>
      <c r="M28" s="55"/>
      <c r="N28" s="56"/>
      <c r="O28" s="61"/>
      <c r="P28" s="61"/>
      <c r="Q28" s="55"/>
      <c r="R28" s="55"/>
    </row>
    <row r="29" spans="1:18" ht="31.5">
      <c r="A29" s="58"/>
      <c r="B29" s="58"/>
      <c r="C29" s="2" t="s">
        <v>38</v>
      </c>
      <c r="D29" s="159" t="s">
        <v>39</v>
      </c>
      <c r="E29" s="157"/>
      <c r="F29" s="157"/>
      <c r="G29" s="157"/>
      <c r="H29" s="157"/>
      <c r="I29" s="55"/>
      <c r="J29" s="56"/>
      <c r="K29" s="56"/>
      <c r="L29" s="55"/>
      <c r="M29" s="55"/>
      <c r="N29" s="56"/>
      <c r="O29" s="61"/>
      <c r="P29" s="61"/>
      <c r="Q29" s="55"/>
      <c r="R29" s="55"/>
    </row>
    <row r="30" spans="1:18" ht="15.75">
      <c r="A30" s="58"/>
      <c r="B30" s="58"/>
      <c r="C30" s="6" t="s">
        <v>40</v>
      </c>
      <c r="D30" s="160"/>
      <c r="E30" s="157"/>
      <c r="F30" s="157"/>
      <c r="G30" s="157"/>
      <c r="H30" s="158"/>
      <c r="I30" s="1"/>
      <c r="J30" s="56"/>
      <c r="K30" s="56"/>
      <c r="L30" s="55"/>
      <c r="M30" s="55"/>
      <c r="N30" s="56"/>
      <c r="O30" s="56"/>
      <c r="P30" s="56"/>
      <c r="Q30" s="55"/>
      <c r="R30" s="55"/>
    </row>
    <row r="31" spans="1:18" ht="15.75">
      <c r="A31" s="54"/>
      <c r="B31" s="55"/>
      <c r="C31" s="55"/>
      <c r="D31" s="7"/>
      <c r="E31" s="7"/>
      <c r="F31" s="7"/>
      <c r="G31" s="7"/>
      <c r="H31" s="7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 ht="63">
      <c r="A32" s="62"/>
      <c r="B32" s="63" t="s">
        <v>42</v>
      </c>
      <c r="C32" s="9" t="s">
        <v>43</v>
      </c>
      <c r="D32" s="6" t="s">
        <v>44</v>
      </c>
      <c r="E32" s="6" t="s">
        <v>45</v>
      </c>
      <c r="F32" s="6" t="s">
        <v>46</v>
      </c>
      <c r="G32" s="6" t="s">
        <v>47</v>
      </c>
      <c r="H32" s="6" t="s">
        <v>48</v>
      </c>
      <c r="I32" s="6" t="s">
        <v>49</v>
      </c>
      <c r="J32" s="10" t="s">
        <v>50</v>
      </c>
      <c r="K32" s="10" t="s">
        <v>51</v>
      </c>
      <c r="L32" s="6" t="s">
        <v>52</v>
      </c>
      <c r="M32" s="6" t="s">
        <v>53</v>
      </c>
      <c r="N32" s="10" t="s">
        <v>54</v>
      </c>
      <c r="O32" s="10" t="s">
        <v>55</v>
      </c>
      <c r="P32" s="155" t="s">
        <v>389</v>
      </c>
      <c r="Q32" s="6" t="s">
        <v>57</v>
      </c>
      <c r="R32" s="6" t="s">
        <v>58</v>
      </c>
    </row>
    <row r="33" spans="1:18" ht="370.5">
      <c r="B33" s="55"/>
      <c r="C33" s="2" t="s">
        <v>74</v>
      </c>
      <c r="D33" s="11" t="s">
        <v>75</v>
      </c>
      <c r="E33" s="11" t="s">
        <v>76</v>
      </c>
      <c r="F33" s="11" t="s">
        <v>77</v>
      </c>
      <c r="G33" s="12" t="s">
        <v>78</v>
      </c>
      <c r="H33" s="12" t="s">
        <v>79</v>
      </c>
      <c r="I33" s="11" t="s">
        <v>80</v>
      </c>
      <c r="J33" s="13" t="s">
        <v>81</v>
      </c>
      <c r="K33" s="13" t="s">
        <v>82</v>
      </c>
      <c r="L33" s="12" t="s">
        <v>83</v>
      </c>
      <c r="M33" s="12" t="s">
        <v>338</v>
      </c>
      <c r="N33" s="14" t="s">
        <v>85</v>
      </c>
      <c r="O33" s="15">
        <v>37931</v>
      </c>
      <c r="P33" s="66">
        <v>1.2298</v>
      </c>
      <c r="Q33" s="11" t="s">
        <v>86</v>
      </c>
      <c r="R33" s="11" t="s">
        <v>87</v>
      </c>
    </row>
    <row r="34" spans="1:18" ht="199.5">
      <c r="B34" s="64" t="s">
        <v>7</v>
      </c>
      <c r="C34" s="2" t="s">
        <v>88</v>
      </c>
      <c r="D34" s="11" t="s">
        <v>89</v>
      </c>
      <c r="E34" s="11" t="s">
        <v>90</v>
      </c>
      <c r="F34" s="11" t="s">
        <v>91</v>
      </c>
      <c r="G34" s="12" t="s">
        <v>92</v>
      </c>
      <c r="H34" s="12" t="s">
        <v>79</v>
      </c>
      <c r="I34" s="11" t="s">
        <v>93</v>
      </c>
      <c r="J34" s="17" t="s">
        <v>94</v>
      </c>
      <c r="K34" s="18" t="s">
        <v>95</v>
      </c>
      <c r="L34" s="12" t="s">
        <v>83</v>
      </c>
      <c r="M34" s="12" t="s">
        <v>338</v>
      </c>
      <c r="N34" s="14" t="s">
        <v>85</v>
      </c>
      <c r="O34" s="65">
        <v>1505457</v>
      </c>
      <c r="P34" s="66">
        <v>1.0245</v>
      </c>
      <c r="Q34" s="11" t="s">
        <v>96</v>
      </c>
      <c r="R34" s="11" t="s">
        <v>97</v>
      </c>
    </row>
    <row r="35" spans="1:18" ht="185.25">
      <c r="B35" s="67" t="s">
        <v>98</v>
      </c>
      <c r="C35" s="19" t="s">
        <v>99</v>
      </c>
      <c r="D35" s="11" t="s">
        <v>100</v>
      </c>
      <c r="E35" s="11" t="s">
        <v>101</v>
      </c>
      <c r="F35" s="11" t="s">
        <v>102</v>
      </c>
      <c r="G35" s="11" t="s">
        <v>103</v>
      </c>
      <c r="H35" s="11" t="s">
        <v>79</v>
      </c>
      <c r="I35" s="11" t="s">
        <v>104</v>
      </c>
      <c r="J35" s="11" t="s">
        <v>105</v>
      </c>
      <c r="K35" s="68" t="s">
        <v>106</v>
      </c>
      <c r="L35" s="11" t="s">
        <v>107</v>
      </c>
      <c r="M35" s="11" t="s">
        <v>84</v>
      </c>
      <c r="N35" s="11" t="s">
        <v>85</v>
      </c>
      <c r="O35" s="13">
        <v>9</v>
      </c>
      <c r="P35" s="66">
        <v>0.88890000000000002</v>
      </c>
      <c r="Q35" s="11" t="s">
        <v>86</v>
      </c>
      <c r="R35" s="11" t="s">
        <v>108</v>
      </c>
    </row>
    <row r="36" spans="1:18" ht="171">
      <c r="A36" s="69"/>
      <c r="B36" s="70"/>
      <c r="C36" s="21" t="s">
        <v>109</v>
      </c>
      <c r="D36" s="11" t="s">
        <v>110</v>
      </c>
      <c r="E36" s="22" t="s">
        <v>111</v>
      </c>
      <c r="F36" s="11" t="s">
        <v>112</v>
      </c>
      <c r="G36" s="23" t="s">
        <v>103</v>
      </c>
      <c r="H36" s="23" t="s">
        <v>113</v>
      </c>
      <c r="I36" s="22" t="s">
        <v>114</v>
      </c>
      <c r="J36" s="24" t="s">
        <v>115</v>
      </c>
      <c r="K36" s="13" t="s">
        <v>116</v>
      </c>
      <c r="L36" s="11" t="s">
        <v>107</v>
      </c>
      <c r="M36" s="25" t="s">
        <v>84</v>
      </c>
      <c r="N36" s="11">
        <v>517</v>
      </c>
      <c r="O36" s="13">
        <v>7450</v>
      </c>
      <c r="P36" s="66">
        <v>1.0389999999999999</v>
      </c>
      <c r="Q36" s="12" t="s">
        <v>117</v>
      </c>
      <c r="R36" s="11" t="s">
        <v>118</v>
      </c>
    </row>
    <row r="37" spans="1:18" ht="142.5">
      <c r="A37" s="71"/>
      <c r="B37" s="70"/>
      <c r="C37" s="21" t="s">
        <v>119</v>
      </c>
      <c r="D37" s="11" t="s">
        <v>120</v>
      </c>
      <c r="E37" s="11" t="s">
        <v>121</v>
      </c>
      <c r="F37" s="11" t="s">
        <v>122</v>
      </c>
      <c r="G37" s="23" t="s">
        <v>103</v>
      </c>
      <c r="H37" s="23" t="s">
        <v>113</v>
      </c>
      <c r="I37" s="11" t="s">
        <v>123</v>
      </c>
      <c r="J37" s="24" t="s">
        <v>124</v>
      </c>
      <c r="K37" s="13" t="s">
        <v>125</v>
      </c>
      <c r="L37" s="11" t="s">
        <v>107</v>
      </c>
      <c r="M37" s="27" t="s">
        <v>84</v>
      </c>
      <c r="N37" s="11">
        <v>925</v>
      </c>
      <c r="O37" s="28">
        <v>640</v>
      </c>
      <c r="P37" s="66">
        <v>2.827</v>
      </c>
      <c r="Q37" s="11" t="s">
        <v>126</v>
      </c>
      <c r="R37" s="11" t="s">
        <v>127</v>
      </c>
    </row>
    <row r="38" spans="1:18" ht="128.25">
      <c r="A38" s="71"/>
      <c r="B38" s="70"/>
      <c r="C38" s="21" t="s">
        <v>129</v>
      </c>
      <c r="D38" s="11" t="s">
        <v>130</v>
      </c>
      <c r="E38" s="11" t="s">
        <v>131</v>
      </c>
      <c r="F38" s="11" t="s">
        <v>132</v>
      </c>
      <c r="G38" s="23" t="s">
        <v>103</v>
      </c>
      <c r="H38" s="23" t="s">
        <v>113</v>
      </c>
      <c r="I38" s="22" t="s">
        <v>133</v>
      </c>
      <c r="J38" s="29" t="s">
        <v>134</v>
      </c>
      <c r="K38" s="29" t="s">
        <v>135</v>
      </c>
      <c r="L38" s="11" t="s">
        <v>107</v>
      </c>
      <c r="M38" s="27" t="s">
        <v>84</v>
      </c>
      <c r="N38" s="11">
        <v>10405</v>
      </c>
      <c r="O38" s="30">
        <v>5000</v>
      </c>
      <c r="P38" s="66">
        <v>2.331</v>
      </c>
      <c r="Q38" s="11" t="s">
        <v>136</v>
      </c>
      <c r="R38" s="11" t="s">
        <v>137</v>
      </c>
    </row>
    <row r="39" spans="1:18" ht="213.75">
      <c r="A39" s="71"/>
      <c r="B39" s="70"/>
      <c r="C39" s="21" t="s">
        <v>138</v>
      </c>
      <c r="D39" s="11" t="s">
        <v>139</v>
      </c>
      <c r="E39" s="11" t="s">
        <v>140</v>
      </c>
      <c r="F39" s="11" t="s">
        <v>141</v>
      </c>
      <c r="G39" s="23" t="s">
        <v>103</v>
      </c>
      <c r="H39" s="23" t="s">
        <v>113</v>
      </c>
      <c r="I39" s="22" t="s">
        <v>142</v>
      </c>
      <c r="J39" s="31" t="s">
        <v>143</v>
      </c>
      <c r="K39" s="31" t="s">
        <v>144</v>
      </c>
      <c r="L39" s="11" t="s">
        <v>107</v>
      </c>
      <c r="M39" s="27" t="s">
        <v>84</v>
      </c>
      <c r="N39" s="32">
        <v>9826</v>
      </c>
      <c r="O39" s="30">
        <v>8791</v>
      </c>
      <c r="P39" s="105">
        <v>1</v>
      </c>
      <c r="Q39" s="22" t="s">
        <v>117</v>
      </c>
      <c r="R39" s="11" t="s">
        <v>145</v>
      </c>
    </row>
    <row r="40" spans="1:18" ht="114">
      <c r="A40" s="71"/>
      <c r="B40" s="70"/>
      <c r="C40" s="21" t="s">
        <v>146</v>
      </c>
      <c r="D40" s="11" t="s">
        <v>147</v>
      </c>
      <c r="E40" s="11" t="s">
        <v>148</v>
      </c>
      <c r="F40" s="11" t="s">
        <v>149</v>
      </c>
      <c r="G40" s="23" t="s">
        <v>103</v>
      </c>
      <c r="H40" s="11" t="s">
        <v>113</v>
      </c>
      <c r="I40" s="22" t="s">
        <v>150</v>
      </c>
      <c r="J40" s="29" t="s">
        <v>151</v>
      </c>
      <c r="K40" s="29" t="s">
        <v>152</v>
      </c>
      <c r="L40" s="11" t="s">
        <v>107</v>
      </c>
      <c r="M40" s="33" t="s">
        <v>84</v>
      </c>
      <c r="N40" s="34">
        <v>1378450</v>
      </c>
      <c r="O40" s="30">
        <v>1190350</v>
      </c>
      <c r="P40" s="66">
        <v>1</v>
      </c>
      <c r="Q40" s="12" t="s">
        <v>153</v>
      </c>
      <c r="R40" s="11" t="s">
        <v>154</v>
      </c>
    </row>
    <row r="41" spans="1:18" ht="128.25">
      <c r="A41" s="71"/>
      <c r="B41" s="70"/>
      <c r="C41" s="21" t="s">
        <v>155</v>
      </c>
      <c r="D41" s="11" t="s">
        <v>156</v>
      </c>
      <c r="E41" s="11" t="s">
        <v>157</v>
      </c>
      <c r="F41" s="11" t="s">
        <v>158</v>
      </c>
      <c r="G41" s="23" t="s">
        <v>103</v>
      </c>
      <c r="H41" s="11" t="s">
        <v>113</v>
      </c>
      <c r="I41" s="22" t="s">
        <v>159</v>
      </c>
      <c r="J41" s="29" t="s">
        <v>151</v>
      </c>
      <c r="K41" s="29" t="s">
        <v>160</v>
      </c>
      <c r="L41" s="11" t="s">
        <v>107</v>
      </c>
      <c r="M41" s="33" t="s">
        <v>84</v>
      </c>
      <c r="N41" s="32">
        <v>26296</v>
      </c>
      <c r="O41" s="30">
        <v>26292</v>
      </c>
      <c r="P41" s="66">
        <v>1.03</v>
      </c>
      <c r="Q41" s="12" t="s">
        <v>153</v>
      </c>
      <c r="R41" s="11" t="s">
        <v>161</v>
      </c>
    </row>
    <row r="42" spans="1:18" ht="156.75">
      <c r="A42" s="71"/>
      <c r="B42" s="70"/>
      <c r="C42" s="21" t="s">
        <v>162</v>
      </c>
      <c r="D42" s="11" t="s">
        <v>163</v>
      </c>
      <c r="E42" s="11" t="s">
        <v>164</v>
      </c>
      <c r="F42" s="11" t="s">
        <v>165</v>
      </c>
      <c r="G42" s="23" t="s">
        <v>103</v>
      </c>
      <c r="H42" s="11" t="s">
        <v>113</v>
      </c>
      <c r="I42" s="22" t="s">
        <v>150</v>
      </c>
      <c r="J42" s="29" t="s">
        <v>151</v>
      </c>
      <c r="K42" s="29" t="s">
        <v>152</v>
      </c>
      <c r="L42" s="11" t="s">
        <v>107</v>
      </c>
      <c r="M42" s="33" t="s">
        <v>84</v>
      </c>
      <c r="N42" s="34">
        <v>4560</v>
      </c>
      <c r="O42" s="30">
        <v>4020</v>
      </c>
      <c r="P42" s="66">
        <v>1</v>
      </c>
      <c r="Q42" s="12" t="s">
        <v>153</v>
      </c>
      <c r="R42" s="11" t="s">
        <v>166</v>
      </c>
    </row>
    <row r="43" spans="1:18" ht="114">
      <c r="A43" s="71"/>
      <c r="B43" s="70"/>
      <c r="C43" s="21" t="s">
        <v>167</v>
      </c>
      <c r="D43" s="11" t="s">
        <v>168</v>
      </c>
      <c r="E43" s="11" t="s">
        <v>169</v>
      </c>
      <c r="F43" s="11" t="s">
        <v>170</v>
      </c>
      <c r="G43" s="23" t="s">
        <v>103</v>
      </c>
      <c r="H43" s="11" t="s">
        <v>113</v>
      </c>
      <c r="I43" s="11" t="s">
        <v>171</v>
      </c>
      <c r="J43" s="29" t="s">
        <v>172</v>
      </c>
      <c r="K43" s="29" t="s">
        <v>173</v>
      </c>
      <c r="L43" s="11" t="s">
        <v>107</v>
      </c>
      <c r="M43" s="33" t="s">
        <v>84</v>
      </c>
      <c r="N43" s="34">
        <v>7997</v>
      </c>
      <c r="O43" s="30">
        <v>6000</v>
      </c>
      <c r="P43" s="66">
        <v>1.151</v>
      </c>
      <c r="Q43" s="11" t="s">
        <v>174</v>
      </c>
      <c r="R43" s="11" t="s">
        <v>175</v>
      </c>
    </row>
    <row r="44" spans="1:18" ht="128.25">
      <c r="A44" s="71"/>
      <c r="B44" s="70"/>
      <c r="C44" s="21" t="s">
        <v>176</v>
      </c>
      <c r="D44" s="11" t="s">
        <v>177</v>
      </c>
      <c r="E44" s="11" t="s">
        <v>178</v>
      </c>
      <c r="F44" s="11" t="s">
        <v>179</v>
      </c>
      <c r="G44" s="11" t="s">
        <v>103</v>
      </c>
      <c r="H44" s="11" t="s">
        <v>113</v>
      </c>
      <c r="I44" s="11" t="s">
        <v>180</v>
      </c>
      <c r="J44" s="11" t="s">
        <v>181</v>
      </c>
      <c r="K44" s="11">
        <v>4</v>
      </c>
      <c r="L44" s="11" t="s">
        <v>182</v>
      </c>
      <c r="M44" s="11" t="s">
        <v>183</v>
      </c>
      <c r="N44" s="11">
        <v>2676</v>
      </c>
      <c r="O44" s="13">
        <v>2550</v>
      </c>
      <c r="P44" s="22">
        <v>2361.8000000000002</v>
      </c>
      <c r="Q44" s="11" t="s">
        <v>184</v>
      </c>
      <c r="R44" s="11" t="s">
        <v>185</v>
      </c>
    </row>
    <row r="45" spans="1:18" ht="128.25">
      <c r="A45" s="71"/>
      <c r="B45" s="70"/>
      <c r="C45" s="21" t="s">
        <v>186</v>
      </c>
      <c r="D45" s="11" t="s">
        <v>187</v>
      </c>
      <c r="E45" s="11" t="s">
        <v>188</v>
      </c>
      <c r="F45" s="11" t="s">
        <v>189</v>
      </c>
      <c r="G45" s="11" t="s">
        <v>103</v>
      </c>
      <c r="H45" s="11" t="s">
        <v>113</v>
      </c>
      <c r="I45" s="11" t="s">
        <v>190</v>
      </c>
      <c r="J45" s="11" t="s">
        <v>191</v>
      </c>
      <c r="K45" s="11" t="s">
        <v>192</v>
      </c>
      <c r="L45" s="11" t="s">
        <v>107</v>
      </c>
      <c r="M45" s="11" t="s">
        <v>84</v>
      </c>
      <c r="N45" s="11" t="s">
        <v>85</v>
      </c>
      <c r="O45" s="13">
        <v>15000</v>
      </c>
      <c r="P45" s="66">
        <v>0.97099999999999997</v>
      </c>
      <c r="Q45" s="11" t="s">
        <v>184</v>
      </c>
      <c r="R45" s="11" t="s">
        <v>185</v>
      </c>
    </row>
    <row r="46" spans="1:18" ht="128.25">
      <c r="A46" s="71"/>
      <c r="B46" s="70"/>
      <c r="C46" s="21" t="s">
        <v>193</v>
      </c>
      <c r="D46" s="11" t="s">
        <v>194</v>
      </c>
      <c r="E46" s="11" t="s">
        <v>195</v>
      </c>
      <c r="F46" s="11" t="s">
        <v>196</v>
      </c>
      <c r="G46" s="23" t="s">
        <v>103</v>
      </c>
      <c r="H46" s="11" t="s">
        <v>113</v>
      </c>
      <c r="I46" s="22" t="s">
        <v>197</v>
      </c>
      <c r="J46" s="29" t="s">
        <v>198</v>
      </c>
      <c r="K46" s="29" t="s">
        <v>199</v>
      </c>
      <c r="L46" s="11" t="s">
        <v>107</v>
      </c>
      <c r="M46" s="33" t="s">
        <v>84</v>
      </c>
      <c r="N46" s="34">
        <v>28995</v>
      </c>
      <c r="O46" s="30">
        <v>29000</v>
      </c>
      <c r="P46" s="66">
        <v>1.002</v>
      </c>
      <c r="Q46" s="12" t="s">
        <v>200</v>
      </c>
      <c r="R46" s="11" t="s">
        <v>201</v>
      </c>
    </row>
    <row r="47" spans="1:18" ht="185.25">
      <c r="A47" s="71"/>
      <c r="B47" s="70"/>
      <c r="C47" s="21" t="s">
        <v>202</v>
      </c>
      <c r="D47" s="11" t="s">
        <v>203</v>
      </c>
      <c r="E47" s="11" t="s">
        <v>204</v>
      </c>
      <c r="F47" s="11" t="s">
        <v>205</v>
      </c>
      <c r="G47" s="23" t="s">
        <v>103</v>
      </c>
      <c r="H47" s="11" t="s">
        <v>113</v>
      </c>
      <c r="I47" s="11" t="s">
        <v>206</v>
      </c>
      <c r="J47" s="29" t="s">
        <v>207</v>
      </c>
      <c r="K47" s="29">
        <v>4</v>
      </c>
      <c r="L47" s="11" t="s">
        <v>182</v>
      </c>
      <c r="M47" s="33" t="s">
        <v>183</v>
      </c>
      <c r="N47" s="11" t="s">
        <v>85</v>
      </c>
      <c r="O47" s="28">
        <v>1500</v>
      </c>
      <c r="P47" s="22">
        <v>1652</v>
      </c>
      <c r="Q47" s="12" t="s">
        <v>117</v>
      </c>
      <c r="R47" s="11" t="s">
        <v>208</v>
      </c>
    </row>
    <row r="48" spans="1:18" ht="185.25">
      <c r="A48" s="71"/>
      <c r="B48" s="70"/>
      <c r="C48" s="21" t="s">
        <v>209</v>
      </c>
      <c r="D48" s="11" t="s">
        <v>210</v>
      </c>
      <c r="E48" s="11" t="s">
        <v>211</v>
      </c>
      <c r="F48" s="11" t="s">
        <v>212</v>
      </c>
      <c r="G48" s="23" t="s">
        <v>103</v>
      </c>
      <c r="H48" s="11" t="s">
        <v>113</v>
      </c>
      <c r="I48" s="22" t="s">
        <v>213</v>
      </c>
      <c r="J48" s="29" t="s">
        <v>214</v>
      </c>
      <c r="K48" s="29" t="s">
        <v>215</v>
      </c>
      <c r="L48" s="11" t="s">
        <v>107</v>
      </c>
      <c r="M48" s="33" t="s">
        <v>84</v>
      </c>
      <c r="N48" s="34">
        <v>203457</v>
      </c>
      <c r="O48" s="28">
        <v>224400</v>
      </c>
      <c r="P48" s="66">
        <v>1.1240000000000001</v>
      </c>
      <c r="Q48" s="12" t="s">
        <v>117</v>
      </c>
      <c r="R48" s="11" t="s">
        <v>208</v>
      </c>
    </row>
    <row r="49" spans="1:18" ht="114">
      <c r="A49" s="71"/>
      <c r="B49" s="70"/>
      <c r="C49" s="21" t="s">
        <v>216</v>
      </c>
      <c r="D49" s="35" t="s">
        <v>217</v>
      </c>
      <c r="E49" s="35" t="s">
        <v>218</v>
      </c>
      <c r="F49" s="35" t="s">
        <v>219</v>
      </c>
      <c r="G49" s="36" t="s">
        <v>103</v>
      </c>
      <c r="H49" s="35" t="s">
        <v>113</v>
      </c>
      <c r="I49" s="35" t="s">
        <v>220</v>
      </c>
      <c r="J49" s="37" t="s">
        <v>221</v>
      </c>
      <c r="K49" s="37">
        <v>4</v>
      </c>
      <c r="L49" s="11" t="s">
        <v>182</v>
      </c>
      <c r="M49" s="38" t="s">
        <v>183</v>
      </c>
      <c r="N49" s="39" t="s">
        <v>85</v>
      </c>
      <c r="O49" s="40">
        <v>4500</v>
      </c>
      <c r="P49" s="22">
        <v>4801.3</v>
      </c>
      <c r="Q49" s="11" t="s">
        <v>222</v>
      </c>
      <c r="R49" s="11" t="s">
        <v>223</v>
      </c>
    </row>
    <row r="50" spans="1:18" ht="114">
      <c r="A50" s="71"/>
      <c r="B50" s="70"/>
      <c r="C50" s="21" t="s">
        <v>224</v>
      </c>
      <c r="D50" s="11" t="s">
        <v>225</v>
      </c>
      <c r="E50" s="11" t="s">
        <v>226</v>
      </c>
      <c r="F50" s="11" t="s">
        <v>227</v>
      </c>
      <c r="G50" s="23" t="s">
        <v>103</v>
      </c>
      <c r="H50" s="11" t="s">
        <v>113</v>
      </c>
      <c r="I50" s="11" t="s">
        <v>228</v>
      </c>
      <c r="J50" s="29" t="s">
        <v>229</v>
      </c>
      <c r="K50" s="29">
        <v>4</v>
      </c>
      <c r="L50" s="11" t="s">
        <v>182</v>
      </c>
      <c r="M50" s="33" t="s">
        <v>183</v>
      </c>
      <c r="N50" s="16"/>
      <c r="O50" s="28">
        <v>780</v>
      </c>
      <c r="P50" s="22">
        <v>778</v>
      </c>
      <c r="Q50" s="11" t="s">
        <v>230</v>
      </c>
      <c r="R50" s="11" t="s">
        <v>231</v>
      </c>
    </row>
    <row r="51" spans="1:18" ht="99.75">
      <c r="A51" s="71"/>
      <c r="B51" s="70"/>
      <c r="C51" s="21" t="s">
        <v>232</v>
      </c>
      <c r="D51" s="11" t="s">
        <v>233</v>
      </c>
      <c r="E51" s="11" t="s">
        <v>234</v>
      </c>
      <c r="F51" s="11" t="s">
        <v>235</v>
      </c>
      <c r="G51" s="23" t="s">
        <v>103</v>
      </c>
      <c r="H51" s="11" t="s">
        <v>113</v>
      </c>
      <c r="I51" s="22" t="s">
        <v>236</v>
      </c>
      <c r="J51" s="29" t="s">
        <v>237</v>
      </c>
      <c r="K51" s="29" t="s">
        <v>238</v>
      </c>
      <c r="L51" s="11" t="s">
        <v>107</v>
      </c>
      <c r="M51" s="33" t="s">
        <v>84</v>
      </c>
      <c r="N51" s="34">
        <v>2037</v>
      </c>
      <c r="O51" s="28">
        <v>2030</v>
      </c>
      <c r="P51" s="66">
        <v>1.0309999999999999</v>
      </c>
      <c r="Q51" s="12" t="s">
        <v>239</v>
      </c>
      <c r="R51" s="11" t="s">
        <v>240</v>
      </c>
    </row>
    <row r="52" spans="1:18" ht="99.75">
      <c r="A52" s="72"/>
      <c r="B52" s="70"/>
      <c r="C52" s="21" t="s">
        <v>241</v>
      </c>
      <c r="D52" s="11" t="s">
        <v>242</v>
      </c>
      <c r="E52" s="11" t="s">
        <v>243</v>
      </c>
      <c r="F52" s="11" t="s">
        <v>244</v>
      </c>
      <c r="G52" s="23" t="s">
        <v>103</v>
      </c>
      <c r="H52" s="11" t="s">
        <v>113</v>
      </c>
      <c r="I52" s="22" t="s">
        <v>245</v>
      </c>
      <c r="J52" s="29" t="s">
        <v>246</v>
      </c>
      <c r="K52" s="29" t="s">
        <v>247</v>
      </c>
      <c r="L52" s="11" t="s">
        <v>107</v>
      </c>
      <c r="M52" s="33" t="s">
        <v>84</v>
      </c>
      <c r="N52" s="11" t="s">
        <v>85</v>
      </c>
      <c r="O52" s="28">
        <v>1188</v>
      </c>
      <c r="P52" s="105">
        <v>1</v>
      </c>
      <c r="Q52" s="12" t="s">
        <v>248</v>
      </c>
      <c r="R52" s="11" t="s">
        <v>240</v>
      </c>
    </row>
    <row r="53" spans="1:18" ht="99.75">
      <c r="B53" s="73" t="s">
        <v>98</v>
      </c>
      <c r="C53" s="42" t="s">
        <v>249</v>
      </c>
      <c r="D53" s="11" t="s">
        <v>250</v>
      </c>
      <c r="E53" s="11" t="s">
        <v>339</v>
      </c>
      <c r="F53" s="11" t="s">
        <v>112</v>
      </c>
      <c r="G53" s="11" t="s">
        <v>103</v>
      </c>
      <c r="H53" s="11" t="s">
        <v>79</v>
      </c>
      <c r="I53" s="11" t="s">
        <v>251</v>
      </c>
      <c r="J53" s="29" t="s">
        <v>252</v>
      </c>
      <c r="K53" s="29" t="s">
        <v>253</v>
      </c>
      <c r="L53" s="11" t="s">
        <v>107</v>
      </c>
      <c r="M53" s="11" t="s">
        <v>84</v>
      </c>
      <c r="N53" s="11">
        <v>4431</v>
      </c>
      <c r="O53" s="13">
        <v>5000</v>
      </c>
      <c r="P53" s="66">
        <v>1.1339999999999999</v>
      </c>
      <c r="Q53" s="11" t="s">
        <v>254</v>
      </c>
      <c r="R53" s="11" t="s">
        <v>255</v>
      </c>
    </row>
    <row r="54" spans="1:18" ht="199.5">
      <c r="A54" s="70"/>
      <c r="B54" s="70"/>
      <c r="C54" s="43" t="s">
        <v>256</v>
      </c>
      <c r="D54" s="11" t="s">
        <v>257</v>
      </c>
      <c r="E54" s="11" t="s">
        <v>258</v>
      </c>
      <c r="F54" s="11" t="s">
        <v>259</v>
      </c>
      <c r="G54" s="11" t="s">
        <v>103</v>
      </c>
      <c r="H54" s="11" t="s">
        <v>113</v>
      </c>
      <c r="I54" s="11" t="s">
        <v>260</v>
      </c>
      <c r="J54" s="29" t="s">
        <v>261</v>
      </c>
      <c r="K54" s="29" t="s">
        <v>262</v>
      </c>
      <c r="L54" s="11" t="s">
        <v>107</v>
      </c>
      <c r="M54" s="11" t="s">
        <v>84</v>
      </c>
      <c r="N54" s="11">
        <v>17</v>
      </c>
      <c r="O54" s="13">
        <v>7</v>
      </c>
      <c r="P54" s="66">
        <v>2.8570000000000002</v>
      </c>
      <c r="Q54" s="11" t="s">
        <v>263</v>
      </c>
      <c r="R54" s="11" t="s">
        <v>264</v>
      </c>
    </row>
    <row r="55" spans="1:18" ht="142.5">
      <c r="B55" s="74" t="s">
        <v>98</v>
      </c>
      <c r="C55" s="19" t="s">
        <v>265</v>
      </c>
      <c r="D55" s="11" t="s">
        <v>266</v>
      </c>
      <c r="E55" s="11" t="s">
        <v>267</v>
      </c>
      <c r="F55" s="11" t="s">
        <v>268</v>
      </c>
      <c r="G55" s="11" t="s">
        <v>103</v>
      </c>
      <c r="H55" s="11" t="s">
        <v>79</v>
      </c>
      <c r="I55" s="11" t="s">
        <v>269</v>
      </c>
      <c r="J55" s="44" t="s">
        <v>270</v>
      </c>
      <c r="K55" s="45" t="s">
        <v>271</v>
      </c>
      <c r="L55" s="11" t="s">
        <v>107</v>
      </c>
      <c r="M55" s="11" t="s">
        <v>84</v>
      </c>
      <c r="N55" s="46" t="s">
        <v>85</v>
      </c>
      <c r="O55" s="13">
        <v>1100</v>
      </c>
      <c r="P55" s="66">
        <v>1.008</v>
      </c>
      <c r="Q55" s="11" t="s">
        <v>272</v>
      </c>
      <c r="R55" s="11" t="s">
        <v>273</v>
      </c>
    </row>
    <row r="56" spans="1:18" ht="156.75">
      <c r="A56" s="69"/>
      <c r="B56" s="75"/>
      <c r="C56" s="21" t="s">
        <v>274</v>
      </c>
      <c r="D56" s="11" t="s">
        <v>275</v>
      </c>
      <c r="E56" s="11" t="s">
        <v>276</v>
      </c>
      <c r="F56" s="11" t="s">
        <v>277</v>
      </c>
      <c r="G56" s="11" t="s">
        <v>103</v>
      </c>
      <c r="H56" s="11" t="s">
        <v>113</v>
      </c>
      <c r="I56" s="11" t="s">
        <v>278</v>
      </c>
      <c r="J56" s="29" t="s">
        <v>279</v>
      </c>
      <c r="K56" s="29" t="s">
        <v>280</v>
      </c>
      <c r="L56" s="11" t="s">
        <v>107</v>
      </c>
      <c r="M56" s="11" t="s">
        <v>84</v>
      </c>
      <c r="N56" s="46" t="s">
        <v>85</v>
      </c>
      <c r="O56" s="13">
        <v>700</v>
      </c>
      <c r="P56" s="66">
        <v>1.07</v>
      </c>
      <c r="Q56" s="11" t="s">
        <v>281</v>
      </c>
      <c r="R56" s="11" t="s">
        <v>282</v>
      </c>
    </row>
    <row r="57" spans="1:18" ht="114">
      <c r="A57" s="72"/>
      <c r="B57" s="75"/>
      <c r="C57" s="21" t="s">
        <v>283</v>
      </c>
      <c r="D57" s="11" t="s">
        <v>284</v>
      </c>
      <c r="E57" s="11" t="s">
        <v>285</v>
      </c>
      <c r="F57" s="11" t="s">
        <v>286</v>
      </c>
      <c r="G57" s="11" t="s">
        <v>103</v>
      </c>
      <c r="H57" s="11" t="s">
        <v>113</v>
      </c>
      <c r="I57" s="11" t="s">
        <v>287</v>
      </c>
      <c r="J57" s="29" t="s">
        <v>288</v>
      </c>
      <c r="K57" s="29" t="s">
        <v>289</v>
      </c>
      <c r="L57" s="11" t="s">
        <v>107</v>
      </c>
      <c r="M57" s="11" t="s">
        <v>84</v>
      </c>
      <c r="N57" s="46" t="s">
        <v>85</v>
      </c>
      <c r="O57" s="13">
        <v>400</v>
      </c>
      <c r="P57" s="66">
        <v>0.88500000000000001</v>
      </c>
      <c r="Q57" s="11" t="s">
        <v>290</v>
      </c>
      <c r="R57" s="11" t="s">
        <v>291</v>
      </c>
    </row>
    <row r="58" spans="1:18" ht="142.5">
      <c r="B58" s="73" t="s">
        <v>292</v>
      </c>
      <c r="C58" s="19" t="s">
        <v>293</v>
      </c>
      <c r="D58" s="11" t="s">
        <v>294</v>
      </c>
      <c r="E58" s="11" t="s">
        <v>295</v>
      </c>
      <c r="F58" s="11" t="s">
        <v>296</v>
      </c>
      <c r="G58" s="11" t="s">
        <v>103</v>
      </c>
      <c r="H58" s="11" t="s">
        <v>79</v>
      </c>
      <c r="I58" s="11" t="s">
        <v>297</v>
      </c>
      <c r="J58" s="29" t="s">
        <v>298</v>
      </c>
      <c r="K58" s="29" t="s">
        <v>299</v>
      </c>
      <c r="L58" s="11" t="s">
        <v>107</v>
      </c>
      <c r="M58" s="11" t="s">
        <v>84</v>
      </c>
      <c r="N58" s="47">
        <v>12</v>
      </c>
      <c r="O58" s="13">
        <v>12</v>
      </c>
      <c r="P58" s="66">
        <v>0.91700000000000004</v>
      </c>
      <c r="Q58" s="11" t="s">
        <v>300</v>
      </c>
      <c r="R58" s="11" t="s">
        <v>301</v>
      </c>
    </row>
    <row r="59" spans="1:18" ht="128.25">
      <c r="A59" s="70"/>
      <c r="B59" s="70"/>
      <c r="C59" s="21" t="s">
        <v>302</v>
      </c>
      <c r="D59" s="11" t="s">
        <v>303</v>
      </c>
      <c r="E59" s="11" t="s">
        <v>304</v>
      </c>
      <c r="F59" s="12" t="s">
        <v>305</v>
      </c>
      <c r="G59" s="11" t="s">
        <v>103</v>
      </c>
      <c r="H59" s="11" t="s">
        <v>113</v>
      </c>
      <c r="I59" s="11" t="s">
        <v>306</v>
      </c>
      <c r="J59" s="29" t="s">
        <v>307</v>
      </c>
      <c r="K59" s="29">
        <v>4</v>
      </c>
      <c r="L59" s="11" t="s">
        <v>182</v>
      </c>
      <c r="M59" s="11" t="s">
        <v>183</v>
      </c>
      <c r="N59" s="46" t="s">
        <v>85</v>
      </c>
      <c r="O59" s="13">
        <v>330</v>
      </c>
      <c r="P59" s="22">
        <v>330</v>
      </c>
      <c r="Q59" s="11" t="s">
        <v>308</v>
      </c>
      <c r="R59" s="11" t="s">
        <v>309</v>
      </c>
    </row>
    <row r="60" spans="1:18" ht="171.75">
      <c r="A60" s="70"/>
      <c r="B60" s="70"/>
      <c r="C60" s="21" t="s">
        <v>310</v>
      </c>
      <c r="D60" s="76" t="s">
        <v>311</v>
      </c>
      <c r="E60" s="77" t="s">
        <v>312</v>
      </c>
      <c r="F60" s="78" t="s">
        <v>313</v>
      </c>
      <c r="G60" s="77" t="s">
        <v>103</v>
      </c>
      <c r="H60" s="77" t="s">
        <v>113</v>
      </c>
      <c r="I60" s="78" t="s">
        <v>314</v>
      </c>
      <c r="J60" s="79" t="s">
        <v>315</v>
      </c>
      <c r="K60" s="80" t="s">
        <v>316</v>
      </c>
      <c r="L60" s="78" t="s">
        <v>107</v>
      </c>
      <c r="M60" s="78" t="s">
        <v>84</v>
      </c>
      <c r="N60" s="81" t="s">
        <v>85</v>
      </c>
      <c r="O60" s="82">
        <v>1800</v>
      </c>
      <c r="P60" s="66">
        <v>1.0389999999999999</v>
      </c>
      <c r="Q60" s="77" t="s">
        <v>317</v>
      </c>
      <c r="R60" s="77" t="s">
        <v>309</v>
      </c>
    </row>
    <row r="61" spans="1:18" ht="15.75">
      <c r="A61" s="83"/>
      <c r="B61" s="84"/>
    </row>
    <row r="62" spans="1:18" ht="15.75">
      <c r="D62" s="85"/>
      <c r="E62" s="85"/>
      <c r="F62" s="85"/>
      <c r="G62" s="85"/>
      <c r="H62" s="85"/>
    </row>
    <row r="63" spans="1:18" ht="15.75">
      <c r="D63" s="85"/>
      <c r="E63" s="85"/>
      <c r="F63" s="85"/>
      <c r="G63" s="85"/>
      <c r="H63" s="85"/>
    </row>
    <row r="64" spans="1:18" ht="15.75">
      <c r="D64" s="85"/>
      <c r="E64" s="85"/>
      <c r="F64" s="85"/>
      <c r="G64" s="85"/>
      <c r="H64" s="85"/>
    </row>
    <row r="65" spans="4:8" ht="15.75">
      <c r="D65" s="85"/>
      <c r="E65" s="85"/>
      <c r="F65" s="85"/>
      <c r="G65" s="85"/>
      <c r="H65" s="85"/>
    </row>
    <row r="66" spans="4:8" ht="15.75">
      <c r="D66" s="85"/>
      <c r="E66" s="85"/>
      <c r="F66" s="85"/>
      <c r="G66" s="85"/>
      <c r="H66" s="85"/>
    </row>
    <row r="67" spans="4:8" ht="15.75">
      <c r="D67" s="85"/>
      <c r="E67" s="85"/>
      <c r="F67" s="85"/>
      <c r="G67" s="85"/>
      <c r="H67" s="85"/>
    </row>
    <row r="68" spans="4:8" ht="15.75">
      <c r="D68" s="85"/>
      <c r="E68" s="85"/>
      <c r="F68" s="85"/>
      <c r="G68" s="85"/>
      <c r="H68" s="85"/>
    </row>
    <row r="69" spans="4:8" ht="15.75">
      <c r="D69" s="85"/>
      <c r="E69" s="85"/>
      <c r="F69" s="85"/>
      <c r="G69" s="85"/>
      <c r="H69" s="85"/>
    </row>
    <row r="70" spans="4:8" ht="15.75">
      <c r="D70" s="85"/>
      <c r="E70" s="85"/>
      <c r="F70" s="85"/>
      <c r="G70" s="85"/>
      <c r="H70" s="85"/>
    </row>
    <row r="71" spans="4:8" ht="15.75">
      <c r="D71" s="85"/>
      <c r="E71" s="85"/>
      <c r="F71" s="85"/>
      <c r="G71" s="85"/>
      <c r="H71" s="85"/>
    </row>
    <row r="72" spans="4:8" ht="15.75">
      <c r="D72" s="85"/>
      <c r="E72" s="85"/>
      <c r="F72" s="85"/>
      <c r="G72" s="85"/>
      <c r="H72" s="85"/>
    </row>
    <row r="73" spans="4:8" ht="15.75">
      <c r="D73" s="85"/>
      <c r="E73" s="85"/>
      <c r="F73" s="85"/>
      <c r="G73" s="85"/>
      <c r="H73" s="85"/>
    </row>
    <row r="74" spans="4:8" ht="15.75">
      <c r="D74" s="85"/>
      <c r="E74" s="85"/>
      <c r="F74" s="85"/>
      <c r="G74" s="85"/>
      <c r="H74" s="85"/>
    </row>
    <row r="75" spans="4:8" ht="15.75">
      <c r="D75" s="85"/>
      <c r="E75" s="85"/>
      <c r="F75" s="85"/>
      <c r="G75" s="85"/>
      <c r="H75" s="85"/>
    </row>
    <row r="76" spans="4:8" ht="15.75">
      <c r="D76" s="85"/>
      <c r="E76" s="85"/>
      <c r="F76" s="85"/>
      <c r="G76" s="85"/>
      <c r="H76" s="85"/>
    </row>
    <row r="77" spans="4:8" ht="15.75">
      <c r="D77" s="85"/>
      <c r="E77" s="85"/>
      <c r="F77" s="85"/>
      <c r="G77" s="85"/>
      <c r="H77" s="85"/>
    </row>
    <row r="78" spans="4:8" ht="15.75">
      <c r="D78" s="85"/>
      <c r="E78" s="85"/>
      <c r="F78" s="85"/>
      <c r="G78" s="85"/>
      <c r="H78" s="85"/>
    </row>
    <row r="79" spans="4:8" ht="15.75">
      <c r="D79" s="85"/>
      <c r="E79" s="85"/>
      <c r="F79" s="85"/>
      <c r="G79" s="85"/>
      <c r="H79" s="85"/>
    </row>
    <row r="80" spans="4:8" ht="15.75">
      <c r="D80" s="85"/>
      <c r="E80" s="85"/>
      <c r="F80" s="85"/>
      <c r="G80" s="85"/>
      <c r="H80" s="85"/>
    </row>
    <row r="81" spans="4:8" ht="15.75">
      <c r="D81" s="85"/>
      <c r="E81" s="85"/>
      <c r="F81" s="85"/>
      <c r="G81" s="85"/>
      <c r="H81" s="85"/>
    </row>
    <row r="82" spans="4:8" ht="15.75">
      <c r="D82" s="85"/>
      <c r="E82" s="85"/>
      <c r="F82" s="85"/>
      <c r="G82" s="85"/>
      <c r="H82" s="85"/>
    </row>
    <row r="83" spans="4:8" ht="15.75">
      <c r="D83" s="85"/>
      <c r="E83" s="85"/>
      <c r="F83" s="85"/>
      <c r="G83" s="85"/>
      <c r="H83" s="85"/>
    </row>
    <row r="84" spans="4:8" ht="15.75">
      <c r="D84" s="85"/>
      <c r="E84" s="85"/>
      <c r="F84" s="85"/>
      <c r="G84" s="85"/>
      <c r="H84" s="85"/>
    </row>
    <row r="85" spans="4:8" ht="15.75">
      <c r="D85" s="85"/>
      <c r="E85" s="85"/>
      <c r="F85" s="85"/>
      <c r="G85" s="85"/>
      <c r="H85" s="85"/>
    </row>
    <row r="86" spans="4:8" ht="15.75">
      <c r="D86" s="85"/>
      <c r="E86" s="85"/>
      <c r="F86" s="85"/>
      <c r="G86" s="85"/>
      <c r="H86" s="85"/>
    </row>
    <row r="87" spans="4:8" ht="15.75">
      <c r="D87" s="85"/>
      <c r="E87" s="85"/>
      <c r="F87" s="85"/>
      <c r="G87" s="85"/>
      <c r="H87" s="85"/>
    </row>
    <row r="88" spans="4:8" ht="15.75">
      <c r="D88" s="85"/>
      <c r="E88" s="85"/>
      <c r="F88" s="85"/>
      <c r="G88" s="85"/>
      <c r="H88" s="85"/>
    </row>
    <row r="89" spans="4:8" ht="15.75">
      <c r="D89" s="85"/>
      <c r="E89" s="85"/>
      <c r="F89" s="85"/>
      <c r="G89" s="85"/>
      <c r="H89" s="85"/>
    </row>
    <row r="90" spans="4:8" ht="15.75">
      <c r="D90" s="85"/>
      <c r="E90" s="85"/>
      <c r="F90" s="85"/>
      <c r="G90" s="85"/>
      <c r="H90" s="85"/>
    </row>
    <row r="91" spans="4:8" ht="15.75">
      <c r="D91" s="85"/>
      <c r="E91" s="85"/>
      <c r="F91" s="85"/>
      <c r="G91" s="85"/>
      <c r="H91" s="85"/>
    </row>
    <row r="92" spans="4:8" ht="15.75">
      <c r="D92" s="85"/>
      <c r="E92" s="85"/>
      <c r="F92" s="85"/>
      <c r="G92" s="85"/>
      <c r="H92" s="85"/>
    </row>
    <row r="93" spans="4:8" ht="15.75">
      <c r="D93" s="85"/>
      <c r="E93" s="85"/>
      <c r="F93" s="85"/>
      <c r="G93" s="85"/>
      <c r="H93" s="85"/>
    </row>
    <row r="94" spans="4:8" ht="15.75">
      <c r="D94" s="85"/>
      <c r="E94" s="85"/>
      <c r="F94" s="85"/>
      <c r="G94" s="85"/>
      <c r="H94" s="85"/>
    </row>
    <row r="95" spans="4:8" ht="15.75">
      <c r="D95" s="85"/>
      <c r="E95" s="85"/>
      <c r="F95" s="85"/>
      <c r="G95" s="85"/>
      <c r="H95" s="85"/>
    </row>
    <row r="96" spans="4:8" ht="15.75">
      <c r="D96" s="85"/>
      <c r="E96" s="85"/>
      <c r="F96" s="85"/>
      <c r="G96" s="85"/>
      <c r="H96" s="85"/>
    </row>
    <row r="97" spans="4:8" ht="15.75">
      <c r="D97" s="85"/>
      <c r="E97" s="85"/>
      <c r="F97" s="85"/>
      <c r="G97" s="85"/>
      <c r="H97" s="85"/>
    </row>
    <row r="98" spans="4:8" ht="15.75">
      <c r="D98" s="85"/>
      <c r="E98" s="85"/>
      <c r="F98" s="85"/>
      <c r="G98" s="85"/>
      <c r="H98" s="85"/>
    </row>
    <row r="99" spans="4:8" ht="15.75">
      <c r="D99" s="85"/>
      <c r="E99" s="85"/>
      <c r="F99" s="85"/>
      <c r="G99" s="85"/>
      <c r="H99" s="85"/>
    </row>
    <row r="100" spans="4:8" ht="15.75">
      <c r="D100" s="85"/>
      <c r="E100" s="85"/>
      <c r="F100" s="85"/>
      <c r="G100" s="85"/>
      <c r="H100" s="85"/>
    </row>
    <row r="101" spans="4:8" ht="15.75">
      <c r="D101" s="85"/>
      <c r="E101" s="85"/>
      <c r="F101" s="85"/>
      <c r="G101" s="85"/>
      <c r="H101" s="85"/>
    </row>
    <row r="102" spans="4:8" ht="15.75">
      <c r="D102" s="85"/>
      <c r="E102" s="85"/>
      <c r="F102" s="85"/>
      <c r="G102" s="85"/>
      <c r="H102" s="85"/>
    </row>
    <row r="103" spans="4:8" ht="15.75">
      <c r="D103" s="85"/>
      <c r="E103" s="85"/>
      <c r="F103" s="85"/>
      <c r="G103" s="85"/>
      <c r="H103" s="85"/>
    </row>
    <row r="104" spans="4:8" ht="15.75">
      <c r="D104" s="85"/>
      <c r="E104" s="85"/>
      <c r="F104" s="85"/>
      <c r="G104" s="85"/>
      <c r="H104" s="85"/>
    </row>
    <row r="105" spans="4:8" ht="15.75">
      <c r="D105" s="85"/>
      <c r="E105" s="85"/>
      <c r="F105" s="85"/>
      <c r="G105" s="85"/>
      <c r="H105" s="85"/>
    </row>
    <row r="106" spans="4:8" ht="15.75">
      <c r="D106" s="85"/>
      <c r="E106" s="85"/>
      <c r="F106" s="85"/>
      <c r="G106" s="85"/>
      <c r="H106" s="85"/>
    </row>
    <row r="107" spans="4:8" ht="15.75">
      <c r="D107" s="85"/>
      <c r="E107" s="85"/>
      <c r="F107" s="85"/>
      <c r="G107" s="85"/>
      <c r="H107" s="85"/>
    </row>
    <row r="108" spans="4:8" ht="15.75">
      <c r="D108" s="85"/>
      <c r="E108" s="85"/>
      <c r="F108" s="85"/>
      <c r="G108" s="85"/>
      <c r="H108" s="85"/>
    </row>
    <row r="109" spans="4:8" ht="15.75">
      <c r="D109" s="85"/>
      <c r="E109" s="85"/>
      <c r="F109" s="85"/>
      <c r="G109" s="85"/>
      <c r="H109" s="85"/>
    </row>
    <row r="110" spans="4:8" ht="15.75">
      <c r="D110" s="85"/>
      <c r="E110" s="85"/>
      <c r="F110" s="85"/>
      <c r="G110" s="85"/>
      <c r="H110" s="85"/>
    </row>
    <row r="111" spans="4:8" ht="15.75">
      <c r="D111" s="85"/>
      <c r="E111" s="85"/>
      <c r="F111" s="85"/>
      <c r="G111" s="85"/>
      <c r="H111" s="85"/>
    </row>
    <row r="112" spans="4:8" ht="15.75">
      <c r="D112" s="85"/>
      <c r="E112" s="85"/>
      <c r="F112" s="85"/>
      <c r="G112" s="85"/>
      <c r="H112" s="85"/>
    </row>
    <row r="113" spans="4:8" ht="15.75">
      <c r="D113" s="85"/>
      <c r="E113" s="85"/>
      <c r="F113" s="85"/>
      <c r="G113" s="85"/>
      <c r="H113" s="85"/>
    </row>
    <row r="114" spans="4:8" ht="15.75">
      <c r="D114" s="85"/>
      <c r="E114" s="85"/>
      <c r="F114" s="85"/>
      <c r="G114" s="85"/>
      <c r="H114" s="85"/>
    </row>
    <row r="115" spans="4:8" ht="15.75">
      <c r="D115" s="85"/>
      <c r="E115" s="85"/>
      <c r="F115" s="85"/>
      <c r="G115" s="85"/>
      <c r="H115" s="85"/>
    </row>
    <row r="116" spans="4:8" ht="15.75">
      <c r="D116" s="85"/>
      <c r="E116" s="85"/>
      <c r="F116" s="85"/>
      <c r="G116" s="85"/>
      <c r="H116" s="85"/>
    </row>
    <row r="117" spans="4:8" ht="15.75">
      <c r="D117" s="85"/>
      <c r="E117" s="85"/>
      <c r="F117" s="85"/>
      <c r="G117" s="85"/>
      <c r="H117" s="85"/>
    </row>
    <row r="118" spans="4:8" ht="15.75">
      <c r="D118" s="85"/>
      <c r="E118" s="85"/>
      <c r="F118" s="85"/>
      <c r="G118" s="85"/>
      <c r="H118" s="85"/>
    </row>
    <row r="119" spans="4:8" ht="15.75">
      <c r="D119" s="85"/>
      <c r="E119" s="85"/>
      <c r="F119" s="85"/>
      <c r="G119" s="85"/>
      <c r="H119" s="85"/>
    </row>
    <row r="120" spans="4:8" ht="15.75">
      <c r="D120" s="85"/>
      <c r="E120" s="85"/>
      <c r="F120" s="85"/>
      <c r="G120" s="85"/>
      <c r="H120" s="85"/>
    </row>
    <row r="121" spans="4:8" ht="15.75">
      <c r="D121" s="85"/>
      <c r="E121" s="85"/>
      <c r="F121" s="85"/>
      <c r="G121" s="85"/>
      <c r="H121" s="85"/>
    </row>
    <row r="122" spans="4:8" ht="15.75">
      <c r="D122" s="85"/>
      <c r="E122" s="85"/>
      <c r="F122" s="85"/>
      <c r="G122" s="85"/>
      <c r="H122" s="85"/>
    </row>
    <row r="123" spans="4:8" ht="15.75">
      <c r="D123" s="85"/>
      <c r="E123" s="85"/>
      <c r="F123" s="85"/>
      <c r="G123" s="85"/>
      <c r="H123" s="85"/>
    </row>
    <row r="124" spans="4:8" ht="15.75">
      <c r="D124" s="85"/>
      <c r="E124" s="85"/>
      <c r="F124" s="85"/>
      <c r="G124" s="85"/>
      <c r="H124" s="85"/>
    </row>
    <row r="125" spans="4:8" ht="15.75">
      <c r="D125" s="85"/>
      <c r="E125" s="85"/>
      <c r="F125" s="85"/>
      <c r="G125" s="85"/>
      <c r="H125" s="85"/>
    </row>
    <row r="126" spans="4:8" ht="15.75">
      <c r="D126" s="85"/>
      <c r="E126" s="85"/>
      <c r="F126" s="85"/>
      <c r="G126" s="85"/>
      <c r="H126" s="85"/>
    </row>
    <row r="127" spans="4:8" ht="15.75">
      <c r="D127" s="85"/>
      <c r="E127" s="85"/>
      <c r="F127" s="85"/>
      <c r="G127" s="85"/>
      <c r="H127" s="85"/>
    </row>
    <row r="128" spans="4:8" ht="15.75">
      <c r="D128" s="85"/>
      <c r="E128" s="85"/>
      <c r="F128" s="85"/>
      <c r="G128" s="85"/>
      <c r="H128" s="85"/>
    </row>
    <row r="129" spans="4:8" ht="15.75">
      <c r="D129" s="85"/>
      <c r="E129" s="85"/>
      <c r="F129" s="85"/>
      <c r="G129" s="85"/>
      <c r="H129" s="85"/>
    </row>
    <row r="130" spans="4:8" ht="15.75">
      <c r="D130" s="85"/>
      <c r="E130" s="85"/>
      <c r="F130" s="85"/>
      <c r="G130" s="85"/>
      <c r="H130" s="85"/>
    </row>
    <row r="131" spans="4:8" ht="15.75">
      <c r="D131" s="85"/>
      <c r="E131" s="85"/>
      <c r="F131" s="85"/>
      <c r="G131" s="85"/>
      <c r="H131" s="85"/>
    </row>
    <row r="132" spans="4:8" ht="15.75">
      <c r="D132" s="85"/>
      <c r="E132" s="85"/>
      <c r="F132" s="85"/>
      <c r="G132" s="85"/>
      <c r="H132" s="85"/>
    </row>
    <row r="133" spans="4:8" ht="15.75">
      <c r="D133" s="85"/>
      <c r="E133" s="85"/>
      <c r="F133" s="85"/>
      <c r="G133" s="85"/>
      <c r="H133" s="85"/>
    </row>
    <row r="134" spans="4:8" ht="15.75">
      <c r="D134" s="85"/>
      <c r="E134" s="85"/>
      <c r="F134" s="85"/>
      <c r="G134" s="85"/>
      <c r="H134" s="85"/>
    </row>
    <row r="135" spans="4:8" ht="15.75">
      <c r="D135" s="85"/>
      <c r="E135" s="85"/>
      <c r="F135" s="85"/>
      <c r="G135" s="85"/>
      <c r="H135" s="85"/>
    </row>
    <row r="136" spans="4:8" ht="15.75">
      <c r="D136" s="85"/>
      <c r="E136" s="85"/>
      <c r="F136" s="85"/>
      <c r="G136" s="85"/>
      <c r="H136" s="85"/>
    </row>
    <row r="137" spans="4:8" ht="15.75">
      <c r="D137" s="85"/>
      <c r="E137" s="85"/>
      <c r="F137" s="85"/>
      <c r="G137" s="85"/>
      <c r="H137" s="85"/>
    </row>
    <row r="138" spans="4:8" ht="15.75">
      <c r="D138" s="85"/>
      <c r="E138" s="85"/>
      <c r="F138" s="85"/>
      <c r="G138" s="85"/>
      <c r="H138" s="85"/>
    </row>
    <row r="139" spans="4:8" ht="15.75">
      <c r="D139" s="85"/>
      <c r="E139" s="85"/>
      <c r="F139" s="85"/>
      <c r="G139" s="85"/>
      <c r="H139" s="85"/>
    </row>
    <row r="140" spans="4:8" ht="15.75">
      <c r="D140" s="85"/>
      <c r="E140" s="85"/>
      <c r="F140" s="85"/>
      <c r="G140" s="85"/>
      <c r="H140" s="85"/>
    </row>
    <row r="141" spans="4:8" ht="15.75">
      <c r="D141" s="85"/>
      <c r="E141" s="85"/>
      <c r="F141" s="85"/>
      <c r="G141" s="85"/>
      <c r="H141" s="85"/>
    </row>
    <row r="142" spans="4:8" ht="15.75">
      <c r="D142" s="85"/>
      <c r="E142" s="85"/>
      <c r="F142" s="85"/>
      <c r="G142" s="85"/>
      <c r="H142" s="85"/>
    </row>
    <row r="143" spans="4:8" ht="15.75">
      <c r="D143" s="85"/>
      <c r="E143" s="85"/>
      <c r="F143" s="85"/>
      <c r="G143" s="85"/>
      <c r="H143" s="85"/>
    </row>
    <row r="144" spans="4:8" ht="15.75">
      <c r="D144" s="85"/>
      <c r="E144" s="85"/>
      <c r="F144" s="85"/>
      <c r="G144" s="85"/>
      <c r="H144" s="85"/>
    </row>
    <row r="145" spans="4:8" ht="15.75">
      <c r="D145" s="85"/>
      <c r="E145" s="85"/>
      <c r="F145" s="85"/>
      <c r="G145" s="85"/>
      <c r="H145" s="85"/>
    </row>
    <row r="146" spans="4:8" ht="15.75">
      <c r="D146" s="85"/>
      <c r="E146" s="85"/>
      <c r="F146" s="85"/>
      <c r="G146" s="85"/>
      <c r="H146" s="85"/>
    </row>
    <row r="147" spans="4:8" ht="15.75">
      <c r="D147" s="85"/>
      <c r="E147" s="85"/>
      <c r="F147" s="85"/>
      <c r="G147" s="85"/>
      <c r="H147" s="85"/>
    </row>
    <row r="148" spans="4:8" ht="15.75">
      <c r="D148" s="85"/>
      <c r="E148" s="85"/>
      <c r="F148" s="85"/>
      <c r="G148" s="85"/>
      <c r="H148" s="85"/>
    </row>
    <row r="149" spans="4:8" ht="15.75">
      <c r="D149" s="85"/>
      <c r="E149" s="85"/>
      <c r="F149" s="85"/>
      <c r="G149" s="85"/>
      <c r="H149" s="85"/>
    </row>
    <row r="150" spans="4:8" ht="15.75">
      <c r="D150" s="85"/>
      <c r="E150" s="85"/>
      <c r="F150" s="85"/>
      <c r="G150" s="85"/>
      <c r="H150" s="85"/>
    </row>
    <row r="151" spans="4:8" ht="15.75">
      <c r="D151" s="85"/>
      <c r="E151" s="85"/>
      <c r="F151" s="85"/>
      <c r="G151" s="85"/>
      <c r="H151" s="85"/>
    </row>
    <row r="152" spans="4:8" ht="15.75">
      <c r="D152" s="85"/>
      <c r="E152" s="85"/>
      <c r="F152" s="85"/>
      <c r="G152" s="85"/>
      <c r="H152" s="85"/>
    </row>
    <row r="153" spans="4:8" ht="15.75">
      <c r="D153" s="85"/>
      <c r="E153" s="85"/>
      <c r="F153" s="85"/>
      <c r="G153" s="85"/>
      <c r="H153" s="85"/>
    </row>
    <row r="154" spans="4:8" ht="15.75">
      <c r="D154" s="85"/>
      <c r="E154" s="85"/>
      <c r="F154" s="85"/>
      <c r="G154" s="85"/>
      <c r="H154" s="85"/>
    </row>
    <row r="155" spans="4:8" ht="15.75">
      <c r="D155" s="85"/>
      <c r="E155" s="85"/>
      <c r="F155" s="85"/>
      <c r="G155" s="85"/>
      <c r="H155" s="85"/>
    </row>
    <row r="156" spans="4:8" ht="15.75">
      <c r="D156" s="85"/>
      <c r="E156" s="85"/>
      <c r="F156" s="85"/>
      <c r="G156" s="85"/>
      <c r="H156" s="85"/>
    </row>
    <row r="157" spans="4:8" ht="15.75">
      <c r="D157" s="85"/>
      <c r="E157" s="85"/>
      <c r="F157" s="85"/>
      <c r="G157" s="85"/>
      <c r="H157" s="85"/>
    </row>
    <row r="158" spans="4:8" ht="15.75">
      <c r="D158" s="85"/>
      <c r="E158" s="85"/>
      <c r="F158" s="85"/>
      <c r="G158" s="85"/>
      <c r="H158" s="85"/>
    </row>
    <row r="159" spans="4:8" ht="15.75">
      <c r="D159" s="85"/>
      <c r="E159" s="85"/>
      <c r="F159" s="85"/>
      <c r="G159" s="85"/>
      <c r="H159" s="85"/>
    </row>
    <row r="160" spans="4:8" ht="15.75">
      <c r="D160" s="85"/>
      <c r="E160" s="85"/>
      <c r="F160" s="85"/>
      <c r="G160" s="85"/>
      <c r="H160" s="85"/>
    </row>
    <row r="161" spans="4:8" ht="15.75">
      <c r="D161" s="85"/>
      <c r="E161" s="85"/>
      <c r="F161" s="85"/>
      <c r="G161" s="85"/>
      <c r="H161" s="85"/>
    </row>
    <row r="162" spans="4:8" ht="15.75">
      <c r="D162" s="85"/>
      <c r="E162" s="85"/>
      <c r="F162" s="85"/>
      <c r="G162" s="85"/>
      <c r="H162" s="85"/>
    </row>
    <row r="163" spans="4:8" ht="15.75">
      <c r="D163" s="85"/>
      <c r="E163" s="85"/>
      <c r="F163" s="85"/>
      <c r="G163" s="85"/>
      <c r="H163" s="85"/>
    </row>
    <row r="164" spans="4:8" ht="15.75">
      <c r="D164" s="85"/>
      <c r="E164" s="85"/>
      <c r="F164" s="85"/>
      <c r="G164" s="85"/>
      <c r="H164" s="85"/>
    </row>
    <row r="165" spans="4:8" ht="15.75">
      <c r="D165" s="85"/>
      <c r="E165" s="85"/>
      <c r="F165" s="85"/>
      <c r="G165" s="85"/>
      <c r="H165" s="85"/>
    </row>
    <row r="166" spans="4:8" ht="15.75">
      <c r="D166" s="85"/>
      <c r="E166" s="85"/>
      <c r="F166" s="85"/>
      <c r="G166" s="85"/>
      <c r="H166" s="85"/>
    </row>
    <row r="167" spans="4:8" ht="15.75">
      <c r="D167" s="85"/>
      <c r="E167" s="85"/>
      <c r="F167" s="85"/>
      <c r="G167" s="85"/>
      <c r="H167" s="85"/>
    </row>
    <row r="168" spans="4:8" ht="15.75">
      <c r="D168" s="85"/>
      <c r="E168" s="85"/>
      <c r="F168" s="85"/>
      <c r="G168" s="85"/>
      <c r="H168" s="85"/>
    </row>
    <row r="169" spans="4:8" ht="15.75">
      <c r="D169" s="85"/>
      <c r="E169" s="85"/>
      <c r="F169" s="85"/>
      <c r="G169" s="85"/>
      <c r="H169" s="85"/>
    </row>
    <row r="170" spans="4:8" ht="15.75">
      <c r="D170" s="85"/>
      <c r="E170" s="85"/>
      <c r="F170" s="85"/>
      <c r="G170" s="85"/>
      <c r="H170" s="85"/>
    </row>
    <row r="171" spans="4:8" ht="15.75">
      <c r="D171" s="85"/>
      <c r="E171" s="85"/>
      <c r="F171" s="85"/>
      <c r="G171" s="85"/>
      <c r="H171" s="85"/>
    </row>
    <row r="172" spans="4:8" ht="15.75">
      <c r="D172" s="85"/>
      <c r="E172" s="85"/>
      <c r="F172" s="85"/>
      <c r="G172" s="85"/>
      <c r="H172" s="85"/>
    </row>
    <row r="173" spans="4:8" ht="15.75">
      <c r="D173" s="85"/>
      <c r="E173" s="85"/>
      <c r="F173" s="85"/>
      <c r="G173" s="85"/>
      <c r="H173" s="85"/>
    </row>
    <row r="174" spans="4:8" ht="15.75">
      <c r="D174" s="85"/>
      <c r="E174" s="85"/>
      <c r="F174" s="85"/>
      <c r="G174" s="85"/>
      <c r="H174" s="85"/>
    </row>
    <row r="175" spans="4:8" ht="15.75">
      <c r="D175" s="85"/>
      <c r="E175" s="85"/>
      <c r="F175" s="85"/>
      <c r="G175" s="85"/>
      <c r="H175" s="85"/>
    </row>
    <row r="176" spans="4:8" ht="15.75">
      <c r="D176" s="85"/>
      <c r="E176" s="85"/>
      <c r="F176" s="85"/>
      <c r="G176" s="85"/>
      <c r="H176" s="85"/>
    </row>
    <row r="177" spans="4:8" ht="15.75">
      <c r="D177" s="85"/>
      <c r="E177" s="85"/>
      <c r="F177" s="85"/>
      <c r="G177" s="85"/>
      <c r="H177" s="85"/>
    </row>
    <row r="178" spans="4:8" ht="15.75">
      <c r="D178" s="85"/>
      <c r="E178" s="85"/>
      <c r="F178" s="85"/>
      <c r="G178" s="85"/>
      <c r="H178" s="85"/>
    </row>
    <row r="179" spans="4:8" ht="15.75">
      <c r="D179" s="85"/>
      <c r="E179" s="85"/>
      <c r="F179" s="85"/>
      <c r="G179" s="85"/>
      <c r="H179" s="85"/>
    </row>
    <row r="180" spans="4:8" ht="15.75">
      <c r="D180" s="85"/>
      <c r="E180" s="85"/>
      <c r="F180" s="85"/>
      <c r="G180" s="85"/>
      <c r="H180" s="85"/>
    </row>
    <row r="181" spans="4:8" ht="15.75">
      <c r="D181" s="85"/>
      <c r="E181" s="85"/>
      <c r="F181" s="85"/>
      <c r="G181" s="85"/>
      <c r="H181" s="85"/>
    </row>
    <row r="182" spans="4:8" ht="15.75">
      <c r="D182" s="85"/>
      <c r="E182" s="85"/>
      <c r="F182" s="85"/>
      <c r="G182" s="85"/>
      <c r="H182" s="85"/>
    </row>
    <row r="183" spans="4:8" ht="15.75">
      <c r="D183" s="85"/>
      <c r="E183" s="85"/>
      <c r="F183" s="85"/>
      <c r="G183" s="85"/>
      <c r="H183" s="85"/>
    </row>
    <row r="184" spans="4:8" ht="15.75">
      <c r="D184" s="85"/>
      <c r="E184" s="85"/>
      <c r="F184" s="85"/>
      <c r="G184" s="85"/>
      <c r="H184" s="85"/>
    </row>
    <row r="185" spans="4:8" ht="15.75">
      <c r="D185" s="85"/>
      <c r="E185" s="85"/>
      <c r="F185" s="85"/>
      <c r="G185" s="85"/>
      <c r="H185" s="85"/>
    </row>
    <row r="186" spans="4:8" ht="15.75">
      <c r="D186" s="85"/>
      <c r="E186" s="85"/>
      <c r="F186" s="85"/>
      <c r="G186" s="85"/>
      <c r="H186" s="85"/>
    </row>
    <row r="187" spans="4:8" ht="15.75">
      <c r="D187" s="85"/>
      <c r="E187" s="85"/>
      <c r="F187" s="85"/>
      <c r="G187" s="85"/>
      <c r="H187" s="85"/>
    </row>
    <row r="188" spans="4:8" ht="15.75">
      <c r="D188" s="85"/>
      <c r="E188" s="85"/>
      <c r="F188" s="85"/>
      <c r="G188" s="85"/>
      <c r="H188" s="85"/>
    </row>
    <row r="189" spans="4:8" ht="15.75">
      <c r="D189" s="85"/>
      <c r="E189" s="85"/>
      <c r="F189" s="85"/>
      <c r="G189" s="85"/>
      <c r="H189" s="85"/>
    </row>
    <row r="190" spans="4:8" ht="15.75">
      <c r="D190" s="85"/>
      <c r="E190" s="85"/>
      <c r="F190" s="85"/>
      <c r="G190" s="85"/>
      <c r="H190" s="85"/>
    </row>
    <row r="191" spans="4:8" ht="15.75">
      <c r="D191" s="85"/>
      <c r="E191" s="85"/>
      <c r="F191" s="85"/>
      <c r="G191" s="85"/>
      <c r="H191" s="85"/>
    </row>
    <row r="192" spans="4:8" ht="15.75">
      <c r="D192" s="85"/>
      <c r="E192" s="85"/>
      <c r="F192" s="85"/>
      <c r="G192" s="85"/>
      <c r="H192" s="85"/>
    </row>
    <row r="193" spans="4:8" ht="15.75">
      <c r="D193" s="85"/>
      <c r="E193" s="85"/>
      <c r="F193" s="85"/>
      <c r="G193" s="85"/>
      <c r="H193" s="85"/>
    </row>
    <row r="194" spans="4:8" ht="15.75">
      <c r="D194" s="85"/>
      <c r="E194" s="85"/>
      <c r="F194" s="85"/>
      <c r="G194" s="85"/>
      <c r="H194" s="85"/>
    </row>
    <row r="195" spans="4:8" ht="15.75">
      <c r="D195" s="85"/>
      <c r="E195" s="85"/>
      <c r="F195" s="85"/>
      <c r="G195" s="85"/>
      <c r="H195" s="85"/>
    </row>
    <row r="196" spans="4:8" ht="15.75">
      <c r="D196" s="85"/>
      <c r="E196" s="85"/>
      <c r="F196" s="85"/>
      <c r="G196" s="85"/>
      <c r="H196" s="85"/>
    </row>
    <row r="197" spans="4:8" ht="15.75">
      <c r="D197" s="85"/>
      <c r="E197" s="85"/>
      <c r="F197" s="85"/>
      <c r="G197" s="85"/>
      <c r="H197" s="85"/>
    </row>
    <row r="198" spans="4:8" ht="15.75">
      <c r="D198" s="85"/>
      <c r="E198" s="85"/>
      <c r="F198" s="85"/>
      <c r="G198" s="85"/>
      <c r="H198" s="85"/>
    </row>
    <row r="199" spans="4:8" ht="15.75">
      <c r="D199" s="85"/>
      <c r="E199" s="85"/>
      <c r="F199" s="85"/>
      <c r="G199" s="85"/>
      <c r="H199" s="85"/>
    </row>
    <row r="200" spans="4:8" ht="15.75">
      <c r="D200" s="85"/>
      <c r="E200" s="85"/>
      <c r="F200" s="85"/>
      <c r="G200" s="85"/>
      <c r="H200" s="85"/>
    </row>
    <row r="201" spans="4:8" ht="15.75">
      <c r="D201" s="85"/>
      <c r="E201" s="85"/>
      <c r="F201" s="85"/>
      <c r="G201" s="85"/>
      <c r="H201" s="85"/>
    </row>
    <row r="202" spans="4:8" ht="15.75">
      <c r="D202" s="85"/>
      <c r="E202" s="85"/>
      <c r="F202" s="85"/>
      <c r="G202" s="85"/>
      <c r="H202" s="85"/>
    </row>
    <row r="203" spans="4:8" ht="15.75">
      <c r="D203" s="85"/>
      <c r="E203" s="85"/>
      <c r="F203" s="85"/>
      <c r="G203" s="85"/>
      <c r="H203" s="85"/>
    </row>
    <row r="204" spans="4:8" ht="15.75">
      <c r="D204" s="85"/>
      <c r="E204" s="85"/>
      <c r="F204" s="85"/>
      <c r="G204" s="85"/>
      <c r="H204" s="85"/>
    </row>
    <row r="205" spans="4:8" ht="15.75">
      <c r="D205" s="85"/>
      <c r="E205" s="85"/>
      <c r="F205" s="85"/>
      <c r="G205" s="85"/>
      <c r="H205" s="85"/>
    </row>
    <row r="206" spans="4:8" ht="15.75">
      <c r="D206" s="85"/>
      <c r="E206" s="85"/>
      <c r="F206" s="85"/>
      <c r="G206" s="85"/>
      <c r="H206" s="85"/>
    </row>
    <row r="207" spans="4:8" ht="15.75">
      <c r="D207" s="85"/>
      <c r="E207" s="85"/>
      <c r="F207" s="85"/>
      <c r="G207" s="85"/>
      <c r="H207" s="85"/>
    </row>
    <row r="208" spans="4:8" ht="15.75">
      <c r="D208" s="85"/>
      <c r="E208" s="85"/>
      <c r="F208" s="85"/>
      <c r="G208" s="85"/>
      <c r="H208" s="85"/>
    </row>
    <row r="209" spans="4:8" ht="15.75">
      <c r="D209" s="85"/>
      <c r="E209" s="85"/>
      <c r="F209" s="85"/>
      <c r="G209" s="85"/>
      <c r="H209" s="85"/>
    </row>
    <row r="210" spans="4:8" ht="15.75">
      <c r="D210" s="85"/>
      <c r="E210" s="85"/>
      <c r="F210" s="85"/>
      <c r="G210" s="85"/>
      <c r="H210" s="85"/>
    </row>
    <row r="211" spans="4:8" ht="15.75">
      <c r="D211" s="85"/>
      <c r="E211" s="85"/>
      <c r="F211" s="85"/>
      <c r="G211" s="85"/>
      <c r="H211" s="85"/>
    </row>
    <row r="212" spans="4:8" ht="15.75">
      <c r="D212" s="85"/>
      <c r="E212" s="85"/>
      <c r="F212" s="85"/>
      <c r="G212" s="85"/>
      <c r="H212" s="85"/>
    </row>
    <row r="213" spans="4:8" ht="15.75">
      <c r="D213" s="85"/>
      <c r="E213" s="85"/>
      <c r="F213" s="85"/>
      <c r="G213" s="85"/>
      <c r="H213" s="85"/>
    </row>
    <row r="214" spans="4:8" ht="15.75">
      <c r="D214" s="85"/>
      <c r="E214" s="85"/>
      <c r="F214" s="85"/>
      <c r="G214" s="85"/>
      <c r="H214" s="85"/>
    </row>
    <row r="215" spans="4:8" ht="15.75">
      <c r="D215" s="85"/>
      <c r="E215" s="85"/>
      <c r="F215" s="85"/>
      <c r="G215" s="85"/>
      <c r="H215" s="85"/>
    </row>
    <row r="216" spans="4:8" ht="15.75">
      <c r="D216" s="85"/>
      <c r="E216" s="85"/>
      <c r="F216" s="85"/>
      <c r="G216" s="85"/>
      <c r="H216" s="85"/>
    </row>
    <row r="217" spans="4:8" ht="15.75">
      <c r="D217" s="85"/>
      <c r="E217" s="85"/>
      <c r="F217" s="85"/>
      <c r="G217" s="85"/>
      <c r="H217" s="85"/>
    </row>
    <row r="218" spans="4:8" ht="15.75">
      <c r="D218" s="85"/>
      <c r="E218" s="85"/>
      <c r="F218" s="85"/>
      <c r="G218" s="85"/>
      <c r="H218" s="85"/>
    </row>
    <row r="219" spans="4:8" ht="15.75">
      <c r="D219" s="85"/>
      <c r="E219" s="85"/>
      <c r="F219" s="85"/>
      <c r="G219" s="85"/>
      <c r="H219" s="85"/>
    </row>
    <row r="220" spans="4:8" ht="15.75">
      <c r="D220" s="85"/>
      <c r="E220" s="85"/>
      <c r="F220" s="85"/>
      <c r="G220" s="85"/>
      <c r="H220" s="85"/>
    </row>
    <row r="221" spans="4:8" ht="15.75">
      <c r="D221" s="85"/>
      <c r="E221" s="85"/>
      <c r="F221" s="85"/>
      <c r="G221" s="85"/>
      <c r="H221" s="85"/>
    </row>
    <row r="222" spans="4:8" ht="15.75">
      <c r="D222" s="85"/>
      <c r="E222" s="85"/>
      <c r="F222" s="85"/>
      <c r="G222" s="85"/>
      <c r="H222" s="85"/>
    </row>
    <row r="223" spans="4:8" ht="15.75">
      <c r="D223" s="85"/>
      <c r="E223" s="85"/>
      <c r="F223" s="85"/>
      <c r="G223" s="85"/>
      <c r="H223" s="85"/>
    </row>
    <row r="224" spans="4:8" ht="15.75">
      <c r="D224" s="85"/>
      <c r="E224" s="85"/>
      <c r="F224" s="85"/>
      <c r="G224" s="85"/>
      <c r="H224" s="85"/>
    </row>
    <row r="225" spans="4:8" ht="15.75">
      <c r="D225" s="85"/>
      <c r="E225" s="85"/>
      <c r="F225" s="85"/>
      <c r="G225" s="85"/>
      <c r="H225" s="85"/>
    </row>
    <row r="226" spans="4:8" ht="15.75">
      <c r="D226" s="85"/>
      <c r="E226" s="85"/>
      <c r="F226" s="85"/>
      <c r="G226" s="85"/>
      <c r="H226" s="85"/>
    </row>
    <row r="227" spans="4:8" ht="15.75">
      <c r="D227" s="85"/>
      <c r="E227" s="85"/>
      <c r="F227" s="85"/>
      <c r="G227" s="85"/>
      <c r="H227" s="85"/>
    </row>
    <row r="228" spans="4:8" ht="15.75">
      <c r="D228" s="85"/>
      <c r="E228" s="85"/>
      <c r="F228" s="85"/>
      <c r="G228" s="85"/>
      <c r="H228" s="85"/>
    </row>
    <row r="229" spans="4:8" ht="15.75">
      <c r="D229" s="85"/>
      <c r="E229" s="85"/>
      <c r="F229" s="85"/>
      <c r="G229" s="85"/>
      <c r="H229" s="85"/>
    </row>
    <row r="230" spans="4:8" ht="15.75">
      <c r="D230" s="85"/>
      <c r="E230" s="85"/>
      <c r="F230" s="85"/>
      <c r="G230" s="85"/>
      <c r="H230" s="85"/>
    </row>
    <row r="231" spans="4:8" ht="15.75">
      <c r="D231" s="85"/>
      <c r="E231" s="85"/>
      <c r="F231" s="85"/>
      <c r="G231" s="85"/>
      <c r="H231" s="85"/>
    </row>
    <row r="232" spans="4:8" ht="15.75">
      <c r="D232" s="85"/>
      <c r="E232" s="85"/>
      <c r="F232" s="85"/>
      <c r="G232" s="85"/>
      <c r="H232" s="85"/>
    </row>
    <row r="233" spans="4:8" ht="15.75">
      <c r="D233" s="85"/>
      <c r="E233" s="85"/>
      <c r="F233" s="85"/>
      <c r="G233" s="85"/>
      <c r="H233" s="85"/>
    </row>
    <row r="234" spans="4:8" ht="15.75">
      <c r="D234" s="85"/>
      <c r="E234" s="85"/>
      <c r="F234" s="85"/>
      <c r="G234" s="85"/>
      <c r="H234" s="85"/>
    </row>
    <row r="235" spans="4:8" ht="15.75">
      <c r="D235" s="85"/>
      <c r="E235" s="85"/>
      <c r="F235" s="85"/>
      <c r="G235" s="85"/>
      <c r="H235" s="85"/>
    </row>
    <row r="236" spans="4:8" ht="15.75">
      <c r="D236" s="85"/>
      <c r="E236" s="85"/>
      <c r="F236" s="85"/>
      <c r="G236" s="85"/>
      <c r="H236" s="85"/>
    </row>
    <row r="237" spans="4:8" ht="15.75">
      <c r="D237" s="85"/>
      <c r="E237" s="85"/>
      <c r="F237" s="85"/>
      <c r="G237" s="85"/>
      <c r="H237" s="85"/>
    </row>
    <row r="238" spans="4:8" ht="15.75">
      <c r="D238" s="85"/>
      <c r="E238" s="85"/>
      <c r="F238" s="85"/>
      <c r="G238" s="85"/>
      <c r="H238" s="85"/>
    </row>
    <row r="239" spans="4:8" ht="15.75">
      <c r="D239" s="85"/>
      <c r="E239" s="85"/>
      <c r="F239" s="85"/>
      <c r="G239" s="85"/>
      <c r="H239" s="85"/>
    </row>
    <row r="240" spans="4:8" ht="15.75">
      <c r="D240" s="85"/>
      <c r="E240" s="85"/>
      <c r="F240" s="85"/>
      <c r="G240" s="85"/>
      <c r="H240" s="85"/>
    </row>
    <row r="241" spans="4:8" ht="15.75">
      <c r="D241" s="85"/>
      <c r="E241" s="85"/>
      <c r="F241" s="85"/>
      <c r="G241" s="85"/>
      <c r="H241" s="85"/>
    </row>
    <row r="242" spans="4:8" ht="15.75">
      <c r="D242" s="85"/>
      <c r="E242" s="85"/>
      <c r="F242" s="85"/>
      <c r="G242" s="85"/>
      <c r="H242" s="85"/>
    </row>
    <row r="243" spans="4:8" ht="15.75">
      <c r="D243" s="85"/>
      <c r="E243" s="85"/>
      <c r="F243" s="85"/>
      <c r="G243" s="85"/>
      <c r="H243" s="85"/>
    </row>
    <row r="244" spans="4:8" ht="15.75">
      <c r="D244" s="85"/>
      <c r="E244" s="85"/>
      <c r="F244" s="85"/>
      <c r="G244" s="85"/>
      <c r="H244" s="85"/>
    </row>
    <row r="245" spans="4:8" ht="15.75">
      <c r="D245" s="85"/>
      <c r="E245" s="85"/>
      <c r="F245" s="85"/>
      <c r="G245" s="85"/>
      <c r="H245" s="85"/>
    </row>
    <row r="246" spans="4:8" ht="15.75">
      <c r="D246" s="85"/>
      <c r="E246" s="85"/>
      <c r="F246" s="85"/>
      <c r="G246" s="85"/>
      <c r="H246" s="85"/>
    </row>
    <row r="247" spans="4:8" ht="15.75">
      <c r="D247" s="85"/>
      <c r="E247" s="85"/>
      <c r="F247" s="85"/>
      <c r="G247" s="85"/>
      <c r="H247" s="85"/>
    </row>
    <row r="248" spans="4:8" ht="15.75">
      <c r="D248" s="85"/>
      <c r="E248" s="85"/>
      <c r="F248" s="85"/>
      <c r="G248" s="85"/>
      <c r="H248" s="85"/>
    </row>
    <row r="249" spans="4:8" ht="15.75">
      <c r="D249" s="85"/>
      <c r="E249" s="85"/>
      <c r="F249" s="85"/>
      <c r="G249" s="85"/>
      <c r="H249" s="85"/>
    </row>
    <row r="250" spans="4:8" ht="15.75">
      <c r="D250" s="85"/>
      <c r="E250" s="85"/>
      <c r="F250" s="85"/>
      <c r="G250" s="85"/>
      <c r="H250" s="85"/>
    </row>
    <row r="251" spans="4:8" ht="15.75">
      <c r="D251" s="85"/>
      <c r="E251" s="85"/>
      <c r="F251" s="85"/>
      <c r="G251" s="85"/>
      <c r="H251" s="85"/>
    </row>
    <row r="252" spans="4:8" ht="15.75">
      <c r="D252" s="85"/>
      <c r="E252" s="85"/>
      <c r="F252" s="85"/>
      <c r="G252" s="85"/>
      <c r="H252" s="85"/>
    </row>
    <row r="253" spans="4:8" ht="15.75">
      <c r="D253" s="85"/>
      <c r="E253" s="85"/>
      <c r="F253" s="85"/>
      <c r="G253" s="85"/>
      <c r="H253" s="85"/>
    </row>
    <row r="254" spans="4:8" ht="15.75">
      <c r="D254" s="85"/>
      <c r="E254" s="85"/>
      <c r="F254" s="85"/>
      <c r="G254" s="85"/>
      <c r="H254" s="85"/>
    </row>
    <row r="255" spans="4:8" ht="15.75">
      <c r="D255" s="85"/>
      <c r="E255" s="85"/>
      <c r="F255" s="85"/>
      <c r="G255" s="85"/>
      <c r="H255" s="85"/>
    </row>
    <row r="256" spans="4:8" ht="15.75">
      <c r="D256" s="85"/>
      <c r="E256" s="85"/>
      <c r="F256" s="85"/>
      <c r="G256" s="85"/>
      <c r="H256" s="85"/>
    </row>
    <row r="257" spans="4:8" ht="15.75">
      <c r="D257" s="85"/>
      <c r="E257" s="85"/>
      <c r="F257" s="85"/>
      <c r="G257" s="85"/>
      <c r="H257" s="85"/>
    </row>
    <row r="258" spans="4:8" ht="15.75">
      <c r="D258" s="85"/>
      <c r="E258" s="85"/>
      <c r="F258" s="85"/>
      <c r="G258" s="85"/>
      <c r="H258" s="85"/>
    </row>
    <row r="259" spans="4:8" ht="15.75">
      <c r="D259" s="85"/>
      <c r="E259" s="85"/>
      <c r="F259" s="85"/>
      <c r="G259" s="85"/>
      <c r="H259" s="85"/>
    </row>
    <row r="260" spans="4:8" ht="15.75">
      <c r="D260" s="85"/>
      <c r="E260" s="85"/>
      <c r="F260" s="85"/>
      <c r="G260" s="85"/>
      <c r="H260" s="85"/>
    </row>
    <row r="261" spans="4:8" ht="15.75">
      <c r="D261" s="85"/>
      <c r="E261" s="85"/>
      <c r="F261" s="85"/>
      <c r="G261" s="85"/>
      <c r="H261" s="85"/>
    </row>
    <row r="262" spans="4:8" ht="15.75">
      <c r="D262" s="85"/>
      <c r="E262" s="85"/>
      <c r="F262" s="85"/>
      <c r="G262" s="85"/>
      <c r="H262" s="85"/>
    </row>
    <row r="263" spans="4:8" ht="15.75">
      <c r="D263" s="85"/>
      <c r="E263" s="85"/>
      <c r="F263" s="85"/>
      <c r="G263" s="85"/>
      <c r="H263" s="85"/>
    </row>
    <row r="264" spans="4:8" ht="15.75">
      <c r="D264" s="85"/>
      <c r="E264" s="85"/>
      <c r="F264" s="85"/>
      <c r="G264" s="85"/>
      <c r="H264" s="85"/>
    </row>
    <row r="265" spans="4:8" ht="15.75">
      <c r="D265" s="85"/>
      <c r="E265" s="85"/>
      <c r="F265" s="85"/>
      <c r="G265" s="85"/>
      <c r="H265" s="85"/>
    </row>
    <row r="266" spans="4:8" ht="15.75">
      <c r="D266" s="85"/>
      <c r="E266" s="85"/>
      <c r="F266" s="85"/>
      <c r="G266" s="85"/>
      <c r="H266" s="85"/>
    </row>
    <row r="267" spans="4:8" ht="15.75">
      <c r="D267" s="85"/>
      <c r="E267" s="85"/>
      <c r="F267" s="85"/>
      <c r="G267" s="85"/>
      <c r="H267" s="85"/>
    </row>
    <row r="268" spans="4:8" ht="15.75">
      <c r="D268" s="85"/>
      <c r="E268" s="85"/>
      <c r="F268" s="85"/>
      <c r="G268" s="85"/>
      <c r="H268" s="85"/>
    </row>
    <row r="269" spans="4:8" ht="15.75">
      <c r="D269" s="85"/>
      <c r="E269" s="85"/>
      <c r="F269" s="85"/>
      <c r="G269" s="85"/>
      <c r="H269" s="85"/>
    </row>
    <row r="270" spans="4:8" ht="15.75">
      <c r="D270" s="85"/>
      <c r="E270" s="85"/>
      <c r="F270" s="85"/>
      <c r="G270" s="85"/>
      <c r="H270" s="85"/>
    </row>
    <row r="271" spans="4:8" ht="15.75">
      <c r="D271" s="85"/>
      <c r="E271" s="85"/>
      <c r="F271" s="85"/>
      <c r="G271" s="85"/>
      <c r="H271" s="85"/>
    </row>
    <row r="272" spans="4:8" ht="15.75">
      <c r="D272" s="85"/>
      <c r="E272" s="85"/>
      <c r="F272" s="85"/>
      <c r="G272" s="85"/>
      <c r="H272" s="85"/>
    </row>
    <row r="273" spans="4:8" ht="15.75">
      <c r="D273" s="85"/>
      <c r="E273" s="85"/>
      <c r="F273" s="85"/>
      <c r="G273" s="85"/>
      <c r="H273" s="85"/>
    </row>
    <row r="274" spans="4:8" ht="15.75">
      <c r="D274" s="85"/>
      <c r="E274" s="85"/>
      <c r="F274" s="85"/>
      <c r="G274" s="85"/>
      <c r="H274" s="85"/>
    </row>
    <row r="275" spans="4:8" ht="15.75">
      <c r="D275" s="85"/>
      <c r="E275" s="85"/>
      <c r="F275" s="85"/>
      <c r="G275" s="85"/>
      <c r="H275" s="85"/>
    </row>
    <row r="276" spans="4:8" ht="15.75">
      <c r="D276" s="85"/>
      <c r="E276" s="85"/>
      <c r="F276" s="85"/>
      <c r="G276" s="85"/>
      <c r="H276" s="85"/>
    </row>
    <row r="277" spans="4:8" ht="15.75">
      <c r="D277" s="85"/>
      <c r="E277" s="85"/>
      <c r="F277" s="85"/>
      <c r="G277" s="85"/>
      <c r="H277" s="85"/>
    </row>
    <row r="278" spans="4:8" ht="15.75">
      <c r="D278" s="85"/>
      <c r="E278" s="85"/>
      <c r="F278" s="85"/>
      <c r="G278" s="85"/>
      <c r="H278" s="85"/>
    </row>
    <row r="279" spans="4:8" ht="15.75">
      <c r="D279" s="85"/>
      <c r="E279" s="85"/>
      <c r="F279" s="85"/>
      <c r="G279" s="85"/>
      <c r="H279" s="85"/>
    </row>
    <row r="280" spans="4:8" ht="15.75">
      <c r="D280" s="85"/>
      <c r="E280" s="85"/>
      <c r="F280" s="85"/>
      <c r="G280" s="85"/>
      <c r="H280" s="85"/>
    </row>
    <row r="281" spans="4:8" ht="15.75">
      <c r="D281" s="85"/>
      <c r="E281" s="85"/>
      <c r="F281" s="85"/>
      <c r="G281" s="85"/>
      <c r="H281" s="85"/>
    </row>
    <row r="282" spans="4:8" ht="15.75">
      <c r="D282" s="85"/>
      <c r="E282" s="85"/>
      <c r="F282" s="85"/>
      <c r="G282" s="85"/>
      <c r="H282" s="85"/>
    </row>
    <row r="283" spans="4:8" ht="15.75">
      <c r="D283" s="85"/>
      <c r="E283" s="85"/>
      <c r="F283" s="85"/>
      <c r="G283" s="85"/>
      <c r="H283" s="85"/>
    </row>
    <row r="284" spans="4:8" ht="15.75">
      <c r="D284" s="85"/>
      <c r="E284" s="85"/>
      <c r="F284" s="85"/>
      <c r="G284" s="85"/>
      <c r="H284" s="85"/>
    </row>
    <row r="285" spans="4:8" ht="15.75">
      <c r="D285" s="85"/>
      <c r="E285" s="85"/>
      <c r="F285" s="85"/>
      <c r="G285" s="85"/>
      <c r="H285" s="85"/>
    </row>
    <row r="286" spans="4:8" ht="15.75">
      <c r="D286" s="85"/>
      <c r="E286" s="85"/>
      <c r="F286" s="85"/>
      <c r="G286" s="85"/>
      <c r="H286" s="85"/>
    </row>
    <row r="287" spans="4:8" ht="15.75">
      <c r="D287" s="85"/>
      <c r="E287" s="85"/>
      <c r="F287" s="85"/>
      <c r="G287" s="85"/>
      <c r="H287" s="85"/>
    </row>
    <row r="288" spans="4:8" ht="15.75">
      <c r="D288" s="85"/>
      <c r="E288" s="85"/>
      <c r="F288" s="85"/>
      <c r="G288" s="85"/>
      <c r="H288" s="85"/>
    </row>
    <row r="289" spans="4:8" ht="15.75">
      <c r="D289" s="85"/>
      <c r="E289" s="85"/>
      <c r="F289" s="85"/>
      <c r="G289" s="85"/>
      <c r="H289" s="85"/>
    </row>
    <row r="290" spans="4:8" ht="15.75">
      <c r="D290" s="85"/>
      <c r="E290" s="85"/>
      <c r="F290" s="85"/>
      <c r="G290" s="85"/>
      <c r="H290" s="85"/>
    </row>
    <row r="291" spans="4:8" ht="15.75">
      <c r="D291" s="85"/>
      <c r="E291" s="85"/>
      <c r="F291" s="85"/>
      <c r="G291" s="85"/>
      <c r="H291" s="85"/>
    </row>
    <row r="292" spans="4:8" ht="15.75">
      <c r="D292" s="85"/>
      <c r="E292" s="85"/>
      <c r="F292" s="85"/>
      <c r="G292" s="85"/>
      <c r="H292" s="85"/>
    </row>
    <row r="293" spans="4:8" ht="15.75">
      <c r="D293" s="85"/>
      <c r="E293" s="85"/>
      <c r="F293" s="85"/>
      <c r="G293" s="85"/>
      <c r="H293" s="85"/>
    </row>
    <row r="294" spans="4:8" ht="15.75">
      <c r="D294" s="85"/>
      <c r="E294" s="85"/>
      <c r="F294" s="85"/>
      <c r="G294" s="85"/>
      <c r="H294" s="85"/>
    </row>
    <row r="295" spans="4:8" ht="15.75">
      <c r="D295" s="85"/>
      <c r="E295" s="85"/>
      <c r="F295" s="85"/>
      <c r="G295" s="85"/>
      <c r="H295" s="85"/>
    </row>
    <row r="296" spans="4:8" ht="15.75">
      <c r="D296" s="85"/>
      <c r="E296" s="85"/>
      <c r="F296" s="85"/>
      <c r="G296" s="85"/>
      <c r="H296" s="85"/>
    </row>
    <row r="297" spans="4:8" ht="15.75">
      <c r="D297" s="85"/>
      <c r="E297" s="85"/>
      <c r="F297" s="85"/>
      <c r="G297" s="85"/>
      <c r="H297" s="85"/>
    </row>
    <row r="298" spans="4:8" ht="15.75">
      <c r="D298" s="85"/>
      <c r="E298" s="85"/>
      <c r="F298" s="85"/>
      <c r="G298" s="85"/>
      <c r="H298" s="85"/>
    </row>
    <row r="299" spans="4:8" ht="15.75">
      <c r="D299" s="85"/>
      <c r="E299" s="85"/>
      <c r="F299" s="85"/>
      <c r="G299" s="85"/>
      <c r="H299" s="85"/>
    </row>
    <row r="300" spans="4:8" ht="15.75">
      <c r="D300" s="85"/>
      <c r="E300" s="85"/>
      <c r="F300" s="85"/>
      <c r="G300" s="85"/>
      <c r="H300" s="85"/>
    </row>
    <row r="301" spans="4:8" ht="15.75">
      <c r="D301" s="85"/>
      <c r="E301" s="85"/>
      <c r="F301" s="85"/>
      <c r="G301" s="85"/>
      <c r="H301" s="85"/>
    </row>
    <row r="302" spans="4:8" ht="15.75">
      <c r="D302" s="85"/>
      <c r="E302" s="85"/>
      <c r="F302" s="85"/>
      <c r="G302" s="85"/>
      <c r="H302" s="85"/>
    </row>
    <row r="303" spans="4:8" ht="15.75">
      <c r="D303" s="85"/>
      <c r="E303" s="85"/>
      <c r="F303" s="85"/>
      <c r="G303" s="85"/>
      <c r="H303" s="85"/>
    </row>
    <row r="304" spans="4:8" ht="15.75">
      <c r="D304" s="85"/>
      <c r="E304" s="85"/>
      <c r="F304" s="85"/>
      <c r="G304" s="85"/>
      <c r="H304" s="85"/>
    </row>
    <row r="305" spans="4:8" ht="15.75">
      <c r="D305" s="85"/>
      <c r="E305" s="85"/>
      <c r="F305" s="85"/>
      <c r="G305" s="85"/>
      <c r="H305" s="85"/>
    </row>
    <row r="306" spans="4:8" ht="15.75">
      <c r="D306" s="85"/>
      <c r="E306" s="85"/>
      <c r="F306" s="85"/>
      <c r="G306" s="85"/>
      <c r="H306" s="85"/>
    </row>
    <row r="307" spans="4:8" ht="15.75">
      <c r="D307" s="85"/>
      <c r="E307" s="85"/>
      <c r="F307" s="85"/>
      <c r="G307" s="85"/>
      <c r="H307" s="85"/>
    </row>
    <row r="308" spans="4:8" ht="15.75">
      <c r="D308" s="85"/>
      <c r="E308" s="85"/>
      <c r="F308" s="85"/>
      <c r="G308" s="85"/>
      <c r="H308" s="85"/>
    </row>
    <row r="309" spans="4:8" ht="15.75">
      <c r="D309" s="85"/>
      <c r="E309" s="85"/>
      <c r="F309" s="85"/>
      <c r="G309" s="85"/>
      <c r="H309" s="85"/>
    </row>
    <row r="310" spans="4:8" ht="15.75">
      <c r="D310" s="85"/>
      <c r="E310" s="85"/>
      <c r="F310" s="85"/>
      <c r="G310" s="85"/>
      <c r="H310" s="85"/>
    </row>
    <row r="311" spans="4:8" ht="15.75">
      <c r="D311" s="85"/>
      <c r="E311" s="85"/>
      <c r="F311" s="85"/>
      <c r="G311" s="85"/>
      <c r="H311" s="85"/>
    </row>
    <row r="312" spans="4:8" ht="15.75">
      <c r="D312" s="85"/>
      <c r="E312" s="85"/>
      <c r="F312" s="85"/>
      <c r="G312" s="85"/>
      <c r="H312" s="85"/>
    </row>
    <row r="313" spans="4:8" ht="15.75">
      <c r="D313" s="85"/>
      <c r="E313" s="85"/>
      <c r="F313" s="85"/>
      <c r="G313" s="85"/>
      <c r="H313" s="85"/>
    </row>
    <row r="314" spans="4:8" ht="15.75">
      <c r="D314" s="85"/>
      <c r="E314" s="85"/>
      <c r="F314" s="85"/>
      <c r="G314" s="85"/>
      <c r="H314" s="85"/>
    </row>
    <row r="315" spans="4:8" ht="15.75">
      <c r="D315" s="85"/>
      <c r="E315" s="85"/>
      <c r="F315" s="85"/>
      <c r="G315" s="85"/>
      <c r="H315" s="85"/>
    </row>
    <row r="316" spans="4:8" ht="15.75">
      <c r="D316" s="85"/>
      <c r="E316" s="85"/>
      <c r="F316" s="85"/>
      <c r="G316" s="85"/>
      <c r="H316" s="85"/>
    </row>
    <row r="317" spans="4:8" ht="15.75">
      <c r="D317" s="85"/>
      <c r="E317" s="85"/>
      <c r="F317" s="85"/>
      <c r="G317" s="85"/>
      <c r="H317" s="85"/>
    </row>
    <row r="318" spans="4:8" ht="15.75">
      <c r="D318" s="85"/>
      <c r="E318" s="85"/>
      <c r="F318" s="85"/>
      <c r="G318" s="85"/>
      <c r="H318" s="85"/>
    </row>
    <row r="319" spans="4:8" ht="15.75">
      <c r="D319" s="85"/>
      <c r="E319" s="85"/>
      <c r="F319" s="85"/>
      <c r="G319" s="85"/>
      <c r="H319" s="85"/>
    </row>
    <row r="320" spans="4:8" ht="15.75">
      <c r="D320" s="85"/>
      <c r="E320" s="85"/>
      <c r="F320" s="85"/>
      <c r="G320" s="85"/>
      <c r="H320" s="85"/>
    </row>
    <row r="321" spans="4:8" ht="15.75">
      <c r="D321" s="85"/>
      <c r="E321" s="85"/>
      <c r="F321" s="85"/>
      <c r="G321" s="85"/>
      <c r="H321" s="85"/>
    </row>
    <row r="322" spans="4:8" ht="15.75">
      <c r="D322" s="85"/>
      <c r="E322" s="85"/>
      <c r="F322" s="85"/>
      <c r="G322" s="85"/>
      <c r="H322" s="85"/>
    </row>
    <row r="323" spans="4:8" ht="15.75">
      <c r="D323" s="85"/>
      <c r="E323" s="85"/>
      <c r="F323" s="85"/>
      <c r="G323" s="85"/>
      <c r="H323" s="85"/>
    </row>
    <row r="324" spans="4:8" ht="15.75">
      <c r="D324" s="85"/>
      <c r="E324" s="85"/>
      <c r="F324" s="85"/>
      <c r="G324" s="85"/>
      <c r="H324" s="85"/>
    </row>
    <row r="325" spans="4:8" ht="15.75">
      <c r="D325" s="85"/>
      <c r="E325" s="85"/>
      <c r="F325" s="85"/>
      <c r="G325" s="85"/>
      <c r="H325" s="85"/>
    </row>
    <row r="326" spans="4:8" ht="15.75">
      <c r="D326" s="85"/>
      <c r="E326" s="85"/>
      <c r="F326" s="85"/>
      <c r="G326" s="85"/>
      <c r="H326" s="85"/>
    </row>
    <row r="327" spans="4:8" ht="15.75">
      <c r="D327" s="85"/>
      <c r="E327" s="85"/>
      <c r="F327" s="85"/>
      <c r="G327" s="85"/>
      <c r="H327" s="85"/>
    </row>
    <row r="328" spans="4:8" ht="15.75">
      <c r="D328" s="85"/>
      <c r="E328" s="85"/>
      <c r="F328" s="85"/>
      <c r="G328" s="85"/>
      <c r="H328" s="85"/>
    </row>
    <row r="329" spans="4:8" ht="15.75">
      <c r="D329" s="85"/>
      <c r="E329" s="85"/>
      <c r="F329" s="85"/>
      <c r="G329" s="85"/>
      <c r="H329" s="85"/>
    </row>
    <row r="330" spans="4:8" ht="15.75">
      <c r="D330" s="85"/>
      <c r="E330" s="85"/>
      <c r="F330" s="85"/>
      <c r="G330" s="85"/>
      <c r="H330" s="85"/>
    </row>
    <row r="331" spans="4:8" ht="15.75">
      <c r="D331" s="85"/>
      <c r="E331" s="85"/>
      <c r="F331" s="85"/>
      <c r="G331" s="85"/>
      <c r="H331" s="85"/>
    </row>
    <row r="332" spans="4:8" ht="15.75">
      <c r="D332" s="85"/>
      <c r="E332" s="85"/>
      <c r="F332" s="85"/>
      <c r="G332" s="85"/>
      <c r="H332" s="85"/>
    </row>
    <row r="333" spans="4:8" ht="15.75">
      <c r="D333" s="85"/>
      <c r="E333" s="85"/>
      <c r="F333" s="85"/>
      <c r="G333" s="85"/>
      <c r="H333" s="85"/>
    </row>
    <row r="334" spans="4:8" ht="15.75">
      <c r="D334" s="85"/>
      <c r="E334" s="85"/>
      <c r="F334" s="85"/>
      <c r="G334" s="85"/>
      <c r="H334" s="85"/>
    </row>
    <row r="335" spans="4:8" ht="15.75">
      <c r="D335" s="85"/>
      <c r="E335" s="85"/>
      <c r="F335" s="85"/>
      <c r="G335" s="85"/>
      <c r="H335" s="85"/>
    </row>
    <row r="336" spans="4:8" ht="15.75">
      <c r="D336" s="85"/>
      <c r="E336" s="85"/>
      <c r="F336" s="85"/>
      <c r="G336" s="85"/>
      <c r="H336" s="85"/>
    </row>
    <row r="337" spans="4:8" ht="15.75">
      <c r="D337" s="85"/>
      <c r="E337" s="85"/>
      <c r="F337" s="85"/>
      <c r="G337" s="85"/>
      <c r="H337" s="85"/>
    </row>
    <row r="338" spans="4:8" ht="15.75">
      <c r="D338" s="85"/>
      <c r="E338" s="85"/>
      <c r="F338" s="85"/>
      <c r="G338" s="85"/>
      <c r="H338" s="85"/>
    </row>
    <row r="339" spans="4:8" ht="15.75">
      <c r="D339" s="85"/>
      <c r="E339" s="85"/>
      <c r="F339" s="85"/>
      <c r="G339" s="85"/>
      <c r="H339" s="85"/>
    </row>
    <row r="340" spans="4:8" ht="15.75">
      <c r="D340" s="85"/>
      <c r="E340" s="85"/>
      <c r="F340" s="85"/>
      <c r="G340" s="85"/>
      <c r="H340" s="85"/>
    </row>
    <row r="341" spans="4:8" ht="15.75">
      <c r="D341" s="85"/>
      <c r="E341" s="85"/>
      <c r="F341" s="85"/>
      <c r="G341" s="85"/>
      <c r="H341" s="85"/>
    </row>
    <row r="342" spans="4:8" ht="15.75">
      <c r="D342" s="85"/>
      <c r="E342" s="85"/>
      <c r="F342" s="85"/>
      <c r="G342" s="85"/>
      <c r="H342" s="85"/>
    </row>
    <row r="343" spans="4:8" ht="15.75">
      <c r="D343" s="85"/>
      <c r="E343" s="85"/>
      <c r="F343" s="85"/>
      <c r="G343" s="85"/>
      <c r="H343" s="85"/>
    </row>
    <row r="344" spans="4:8" ht="15.75">
      <c r="D344" s="85"/>
      <c r="E344" s="85"/>
      <c r="F344" s="85"/>
      <c r="G344" s="85"/>
      <c r="H344" s="85"/>
    </row>
    <row r="345" spans="4:8" ht="15.75">
      <c r="D345" s="85"/>
      <c r="E345" s="85"/>
      <c r="F345" s="85"/>
      <c r="G345" s="85"/>
      <c r="H345" s="85"/>
    </row>
    <row r="346" spans="4:8" ht="15.75">
      <c r="D346" s="85"/>
      <c r="E346" s="85"/>
      <c r="F346" s="85"/>
      <c r="G346" s="85"/>
      <c r="H346" s="85"/>
    </row>
    <row r="347" spans="4:8" ht="15.75">
      <c r="D347" s="85"/>
      <c r="E347" s="85"/>
      <c r="F347" s="85"/>
      <c r="G347" s="85"/>
      <c r="H347" s="85"/>
    </row>
    <row r="348" spans="4:8" ht="15.75">
      <c r="D348" s="85"/>
      <c r="E348" s="85"/>
      <c r="F348" s="85"/>
      <c r="G348" s="85"/>
      <c r="H348" s="85"/>
    </row>
    <row r="349" spans="4:8" ht="15.75">
      <c r="D349" s="85"/>
      <c r="E349" s="85"/>
      <c r="F349" s="85"/>
      <c r="G349" s="85"/>
      <c r="H349" s="85"/>
    </row>
    <row r="350" spans="4:8" ht="15.75">
      <c r="D350" s="85"/>
      <c r="E350" s="85"/>
      <c r="F350" s="85"/>
      <c r="G350" s="85"/>
      <c r="H350" s="85"/>
    </row>
    <row r="351" spans="4:8" ht="15.75">
      <c r="D351" s="85"/>
      <c r="E351" s="85"/>
      <c r="F351" s="85"/>
      <c r="G351" s="85"/>
      <c r="H351" s="85"/>
    </row>
    <row r="352" spans="4:8" ht="15.75">
      <c r="D352" s="85"/>
      <c r="E352" s="85"/>
      <c r="F352" s="85"/>
      <c r="G352" s="85"/>
      <c r="H352" s="85"/>
    </row>
    <row r="353" spans="4:8" ht="15.75">
      <c r="D353" s="85"/>
      <c r="E353" s="85"/>
      <c r="F353" s="85"/>
      <c r="G353" s="85"/>
      <c r="H353" s="85"/>
    </row>
    <row r="354" spans="4:8" ht="15.75">
      <c r="D354" s="85"/>
      <c r="E354" s="85"/>
      <c r="F354" s="85"/>
      <c r="G354" s="85"/>
      <c r="H354" s="85"/>
    </row>
    <row r="355" spans="4:8" ht="15.75">
      <c r="D355" s="85"/>
      <c r="E355" s="85"/>
      <c r="F355" s="85"/>
      <c r="G355" s="85"/>
      <c r="H355" s="85"/>
    </row>
    <row r="356" spans="4:8" ht="15.75">
      <c r="D356" s="85"/>
      <c r="E356" s="85"/>
      <c r="F356" s="85"/>
      <c r="G356" s="85"/>
      <c r="H356" s="85"/>
    </row>
    <row r="357" spans="4:8" ht="15.75">
      <c r="D357" s="85"/>
      <c r="E357" s="85"/>
      <c r="F357" s="85"/>
      <c r="G357" s="85"/>
      <c r="H357" s="85"/>
    </row>
    <row r="358" spans="4:8" ht="15.75">
      <c r="D358" s="85"/>
      <c r="E358" s="85"/>
      <c r="F358" s="85"/>
      <c r="G358" s="85"/>
      <c r="H358" s="85"/>
    </row>
    <row r="359" spans="4:8" ht="15.75">
      <c r="D359" s="85"/>
      <c r="E359" s="85"/>
      <c r="F359" s="85"/>
      <c r="G359" s="85"/>
      <c r="H359" s="85"/>
    </row>
    <row r="360" spans="4:8" ht="15.75">
      <c r="D360" s="85"/>
      <c r="E360" s="85"/>
      <c r="F360" s="85"/>
      <c r="G360" s="85"/>
      <c r="H360" s="85"/>
    </row>
    <row r="361" spans="4:8" ht="15.75">
      <c r="D361" s="85"/>
      <c r="E361" s="85"/>
      <c r="F361" s="85"/>
      <c r="G361" s="85"/>
      <c r="H361" s="85"/>
    </row>
    <row r="362" spans="4:8" ht="15.75">
      <c r="D362" s="85"/>
      <c r="E362" s="85"/>
      <c r="F362" s="85"/>
      <c r="G362" s="85"/>
      <c r="H362" s="85"/>
    </row>
    <row r="363" spans="4:8" ht="15.75">
      <c r="D363" s="85"/>
      <c r="E363" s="85"/>
      <c r="F363" s="85"/>
      <c r="G363" s="85"/>
      <c r="H363" s="85"/>
    </row>
    <row r="364" spans="4:8" ht="15.75">
      <c r="D364" s="85"/>
      <c r="E364" s="85"/>
      <c r="F364" s="85"/>
      <c r="G364" s="85"/>
      <c r="H364" s="85"/>
    </row>
    <row r="365" spans="4:8" ht="15.75">
      <c r="D365" s="85"/>
      <c r="E365" s="85"/>
      <c r="F365" s="85"/>
      <c r="G365" s="85"/>
      <c r="H365" s="85"/>
    </row>
    <row r="366" spans="4:8" ht="15.75">
      <c r="D366" s="85"/>
      <c r="E366" s="85"/>
      <c r="F366" s="85"/>
      <c r="G366" s="85"/>
      <c r="H366" s="85"/>
    </row>
    <row r="367" spans="4:8" ht="15.75">
      <c r="D367" s="85"/>
      <c r="E367" s="85"/>
      <c r="F367" s="85"/>
      <c r="G367" s="85"/>
      <c r="H367" s="85"/>
    </row>
    <row r="368" spans="4:8" ht="15.75">
      <c r="D368" s="85"/>
      <c r="E368" s="85"/>
      <c r="F368" s="85"/>
      <c r="G368" s="85"/>
      <c r="H368" s="85"/>
    </row>
    <row r="369" spans="4:8" ht="15.75">
      <c r="D369" s="85"/>
      <c r="E369" s="85"/>
      <c r="F369" s="85"/>
      <c r="G369" s="85"/>
      <c r="H369" s="85"/>
    </row>
    <row r="370" spans="4:8" ht="15.75">
      <c r="D370" s="85"/>
      <c r="E370" s="85"/>
      <c r="F370" s="85"/>
      <c r="G370" s="85"/>
      <c r="H370" s="85"/>
    </row>
    <row r="371" spans="4:8" ht="15.75">
      <c r="D371" s="85"/>
      <c r="E371" s="85"/>
      <c r="F371" s="85"/>
      <c r="G371" s="85"/>
      <c r="H371" s="85"/>
    </row>
    <row r="372" spans="4:8" ht="15.75">
      <c r="D372" s="85"/>
      <c r="E372" s="85"/>
      <c r="F372" s="85"/>
      <c r="G372" s="85"/>
      <c r="H372" s="85"/>
    </row>
    <row r="373" spans="4:8" ht="15.75">
      <c r="D373" s="85"/>
      <c r="E373" s="85"/>
      <c r="F373" s="85"/>
      <c r="G373" s="85"/>
      <c r="H373" s="85"/>
    </row>
    <row r="374" spans="4:8" ht="15.75">
      <c r="D374" s="85"/>
      <c r="E374" s="85"/>
      <c r="F374" s="85"/>
      <c r="G374" s="85"/>
      <c r="H374" s="85"/>
    </row>
    <row r="375" spans="4:8" ht="15.75">
      <c r="D375" s="85"/>
      <c r="E375" s="85"/>
      <c r="F375" s="85"/>
      <c r="G375" s="85"/>
      <c r="H375" s="85"/>
    </row>
    <row r="376" spans="4:8" ht="15.75">
      <c r="D376" s="85"/>
      <c r="E376" s="85"/>
      <c r="F376" s="85"/>
      <c r="G376" s="85"/>
      <c r="H376" s="85"/>
    </row>
    <row r="377" spans="4:8" ht="15.75">
      <c r="D377" s="85"/>
      <c r="E377" s="85"/>
      <c r="F377" s="85"/>
      <c r="G377" s="85"/>
      <c r="H377" s="85"/>
    </row>
    <row r="378" spans="4:8" ht="15.75">
      <c r="D378" s="85"/>
      <c r="E378" s="85"/>
      <c r="F378" s="85"/>
      <c r="G378" s="85"/>
      <c r="H378" s="85"/>
    </row>
    <row r="379" spans="4:8" ht="15.75">
      <c r="D379" s="85"/>
      <c r="E379" s="85"/>
      <c r="F379" s="85"/>
      <c r="G379" s="85"/>
      <c r="H379" s="85"/>
    </row>
    <row r="380" spans="4:8" ht="15.75">
      <c r="D380" s="85"/>
      <c r="E380" s="85"/>
      <c r="F380" s="85"/>
      <c r="G380" s="85"/>
      <c r="H380" s="85"/>
    </row>
    <row r="381" spans="4:8" ht="15.75">
      <c r="D381" s="85"/>
      <c r="E381" s="85"/>
      <c r="F381" s="85"/>
      <c r="G381" s="85"/>
      <c r="H381" s="85"/>
    </row>
    <row r="382" spans="4:8" ht="15.75">
      <c r="D382" s="85"/>
      <c r="E382" s="85"/>
      <c r="F382" s="85"/>
      <c r="G382" s="85"/>
      <c r="H382" s="85"/>
    </row>
    <row r="383" spans="4:8" ht="15.75">
      <c r="D383" s="85"/>
      <c r="E383" s="85"/>
      <c r="F383" s="85"/>
      <c r="G383" s="85"/>
      <c r="H383" s="85"/>
    </row>
    <row r="384" spans="4:8" ht="15.75">
      <c r="D384" s="85"/>
      <c r="E384" s="85"/>
      <c r="F384" s="85"/>
      <c r="G384" s="85"/>
      <c r="H384" s="85"/>
    </row>
    <row r="385" spans="4:8" ht="15.75">
      <c r="D385" s="85"/>
      <c r="E385" s="85"/>
      <c r="F385" s="85"/>
      <c r="G385" s="85"/>
      <c r="H385" s="85"/>
    </row>
    <row r="386" spans="4:8" ht="15.75">
      <c r="D386" s="85"/>
      <c r="E386" s="85"/>
      <c r="F386" s="85"/>
      <c r="G386" s="85"/>
      <c r="H386" s="85"/>
    </row>
    <row r="387" spans="4:8" ht="15.75">
      <c r="D387" s="85"/>
      <c r="E387" s="85"/>
      <c r="F387" s="85"/>
      <c r="G387" s="85"/>
      <c r="H387" s="85"/>
    </row>
    <row r="388" spans="4:8" ht="15.75">
      <c r="D388" s="85"/>
      <c r="E388" s="85"/>
      <c r="F388" s="85"/>
      <c r="G388" s="85"/>
      <c r="H388" s="85"/>
    </row>
    <row r="389" spans="4:8" ht="15.75">
      <c r="D389" s="85"/>
      <c r="E389" s="85"/>
      <c r="F389" s="85"/>
      <c r="G389" s="85"/>
      <c r="H389" s="85"/>
    </row>
    <row r="390" spans="4:8" ht="15.75">
      <c r="D390" s="85"/>
      <c r="E390" s="85"/>
      <c r="F390" s="85"/>
      <c r="G390" s="85"/>
      <c r="H390" s="85"/>
    </row>
    <row r="391" spans="4:8" ht="15.75">
      <c r="D391" s="85"/>
      <c r="E391" s="85"/>
      <c r="F391" s="85"/>
      <c r="G391" s="85"/>
      <c r="H391" s="85"/>
    </row>
    <row r="392" spans="4:8" ht="15.75">
      <c r="D392" s="85"/>
      <c r="E392" s="85"/>
      <c r="F392" s="85"/>
      <c r="G392" s="85"/>
      <c r="H392" s="85"/>
    </row>
    <row r="393" spans="4:8" ht="15.75">
      <c r="D393" s="85"/>
      <c r="E393" s="85"/>
      <c r="F393" s="85"/>
      <c r="G393" s="85"/>
      <c r="H393" s="85"/>
    </row>
    <row r="394" spans="4:8" ht="15.75">
      <c r="D394" s="85"/>
      <c r="E394" s="85"/>
      <c r="F394" s="85"/>
      <c r="G394" s="85"/>
      <c r="H394" s="85"/>
    </row>
    <row r="395" spans="4:8" ht="15.75">
      <c r="D395" s="85"/>
      <c r="E395" s="85"/>
      <c r="F395" s="85"/>
      <c r="G395" s="85"/>
      <c r="H395" s="85"/>
    </row>
    <row r="396" spans="4:8" ht="15.75">
      <c r="D396" s="85"/>
      <c r="E396" s="85"/>
      <c r="F396" s="85"/>
      <c r="G396" s="85"/>
      <c r="H396" s="85"/>
    </row>
    <row r="397" spans="4:8" ht="15.75">
      <c r="D397" s="85"/>
      <c r="E397" s="85"/>
      <c r="F397" s="85"/>
      <c r="G397" s="85"/>
      <c r="H397" s="85"/>
    </row>
    <row r="398" spans="4:8" ht="15.75">
      <c r="D398" s="85"/>
      <c r="E398" s="85"/>
      <c r="F398" s="85"/>
      <c r="G398" s="85"/>
      <c r="H398" s="85"/>
    </row>
    <row r="399" spans="4:8" ht="15.75">
      <c r="D399" s="85"/>
      <c r="E399" s="85"/>
      <c r="F399" s="85"/>
      <c r="G399" s="85"/>
      <c r="H399" s="85"/>
    </row>
    <row r="400" spans="4:8" ht="15.75">
      <c r="D400" s="85"/>
      <c r="E400" s="85"/>
      <c r="F400" s="85"/>
      <c r="G400" s="85"/>
      <c r="H400" s="85"/>
    </row>
    <row r="401" spans="4:8" ht="15.75">
      <c r="D401" s="85"/>
      <c r="E401" s="85"/>
      <c r="F401" s="85"/>
      <c r="G401" s="85"/>
      <c r="H401" s="85"/>
    </row>
    <row r="402" spans="4:8" ht="15.75">
      <c r="D402" s="85"/>
      <c r="E402" s="85"/>
      <c r="F402" s="85"/>
      <c r="G402" s="85"/>
      <c r="H402" s="85"/>
    </row>
    <row r="403" spans="4:8" ht="15.75">
      <c r="D403" s="85"/>
      <c r="E403" s="85"/>
      <c r="F403" s="85"/>
      <c r="G403" s="85"/>
      <c r="H403" s="85"/>
    </row>
    <row r="404" spans="4:8" ht="15.75">
      <c r="D404" s="85"/>
      <c r="E404" s="85"/>
      <c r="F404" s="85"/>
      <c r="G404" s="85"/>
      <c r="H404" s="85"/>
    </row>
    <row r="405" spans="4:8" ht="15.75">
      <c r="D405" s="85"/>
      <c r="E405" s="85"/>
      <c r="F405" s="85"/>
      <c r="G405" s="85"/>
      <c r="H405" s="85"/>
    </row>
    <row r="406" spans="4:8" ht="15.75">
      <c r="D406" s="85"/>
      <c r="E406" s="85"/>
      <c r="F406" s="85"/>
      <c r="G406" s="85"/>
      <c r="H406" s="85"/>
    </row>
    <row r="407" spans="4:8" ht="15.75">
      <c r="D407" s="85"/>
      <c r="E407" s="85"/>
      <c r="F407" s="85"/>
      <c r="G407" s="85"/>
      <c r="H407" s="85"/>
    </row>
    <row r="408" spans="4:8" ht="15.75">
      <c r="D408" s="85"/>
      <c r="E408" s="85"/>
      <c r="F408" s="85"/>
      <c r="G408" s="85"/>
      <c r="H408" s="85"/>
    </row>
    <row r="409" spans="4:8" ht="15.75">
      <c r="D409" s="85"/>
      <c r="E409" s="85"/>
      <c r="F409" s="85"/>
      <c r="G409" s="85"/>
      <c r="H409" s="85"/>
    </row>
    <row r="410" spans="4:8" ht="15.75">
      <c r="D410" s="85"/>
      <c r="E410" s="85"/>
      <c r="F410" s="85"/>
      <c r="G410" s="85"/>
      <c r="H410" s="85"/>
    </row>
    <row r="411" spans="4:8" ht="15.75">
      <c r="D411" s="85"/>
      <c r="E411" s="85"/>
      <c r="F411" s="85"/>
      <c r="G411" s="85"/>
      <c r="H411" s="85"/>
    </row>
    <row r="412" spans="4:8" ht="15.75">
      <c r="D412" s="85"/>
      <c r="E412" s="85"/>
      <c r="F412" s="85"/>
      <c r="G412" s="85"/>
      <c r="H412" s="85"/>
    </row>
    <row r="413" spans="4:8" ht="15.75">
      <c r="D413" s="85"/>
      <c r="E413" s="85"/>
      <c r="F413" s="85"/>
      <c r="G413" s="85"/>
      <c r="H413" s="85"/>
    </row>
    <row r="414" spans="4:8" ht="15.75">
      <c r="D414" s="85"/>
      <c r="E414" s="85"/>
      <c r="F414" s="85"/>
      <c r="G414" s="85"/>
      <c r="H414" s="85"/>
    </row>
    <row r="415" spans="4:8" ht="15.75">
      <c r="D415" s="85"/>
      <c r="E415" s="85"/>
      <c r="F415" s="85"/>
      <c r="G415" s="85"/>
      <c r="H415" s="85"/>
    </row>
    <row r="416" spans="4:8" ht="15.75">
      <c r="D416" s="85"/>
      <c r="E416" s="85"/>
      <c r="F416" s="85"/>
      <c r="G416" s="85"/>
      <c r="H416" s="85"/>
    </row>
    <row r="417" spans="4:8" ht="15.75">
      <c r="D417" s="85"/>
      <c r="E417" s="85"/>
      <c r="F417" s="85"/>
      <c r="G417" s="85"/>
      <c r="H417" s="85"/>
    </row>
    <row r="418" spans="4:8" ht="15.75">
      <c r="D418" s="85"/>
      <c r="E418" s="85"/>
      <c r="F418" s="85"/>
      <c r="G418" s="85"/>
      <c r="H418" s="85"/>
    </row>
    <row r="419" spans="4:8" ht="15.75">
      <c r="D419" s="85"/>
      <c r="E419" s="85"/>
      <c r="F419" s="85"/>
      <c r="G419" s="85"/>
      <c r="H419" s="85"/>
    </row>
    <row r="420" spans="4:8" ht="15.75">
      <c r="D420" s="85"/>
      <c r="E420" s="85"/>
      <c r="F420" s="85"/>
      <c r="G420" s="85"/>
      <c r="H420" s="85"/>
    </row>
    <row r="421" spans="4:8" ht="15.75">
      <c r="D421" s="85"/>
      <c r="E421" s="85"/>
      <c r="F421" s="85"/>
      <c r="G421" s="85"/>
      <c r="H421" s="85"/>
    </row>
    <row r="422" spans="4:8" ht="15.75">
      <c r="D422" s="85"/>
      <c r="E422" s="85"/>
      <c r="F422" s="85"/>
      <c r="G422" s="85"/>
      <c r="H422" s="85"/>
    </row>
    <row r="423" spans="4:8" ht="15.75">
      <c r="D423" s="85"/>
      <c r="E423" s="85"/>
      <c r="F423" s="85"/>
      <c r="G423" s="85"/>
      <c r="H423" s="85"/>
    </row>
    <row r="424" spans="4:8" ht="15.75">
      <c r="D424" s="85"/>
      <c r="E424" s="85"/>
      <c r="F424" s="85"/>
      <c r="G424" s="85"/>
      <c r="H424" s="85"/>
    </row>
    <row r="425" spans="4:8" ht="15.75">
      <c r="D425" s="85"/>
      <c r="E425" s="85"/>
      <c r="F425" s="85"/>
      <c r="G425" s="85"/>
      <c r="H425" s="85"/>
    </row>
    <row r="426" spans="4:8" ht="15.75">
      <c r="D426" s="85"/>
      <c r="E426" s="85"/>
      <c r="F426" s="85"/>
      <c r="G426" s="85"/>
      <c r="H426" s="85"/>
    </row>
    <row r="427" spans="4:8" ht="15.75">
      <c r="D427" s="85"/>
      <c r="E427" s="85"/>
      <c r="F427" s="85"/>
      <c r="G427" s="85"/>
      <c r="H427" s="85"/>
    </row>
    <row r="428" spans="4:8" ht="15.75">
      <c r="D428" s="85"/>
      <c r="E428" s="85"/>
      <c r="F428" s="85"/>
      <c r="G428" s="85"/>
      <c r="H428" s="85"/>
    </row>
    <row r="429" spans="4:8" ht="15.75">
      <c r="D429" s="85"/>
      <c r="E429" s="85"/>
      <c r="F429" s="85"/>
      <c r="G429" s="85"/>
      <c r="H429" s="85"/>
    </row>
    <row r="430" spans="4:8" ht="15.75">
      <c r="D430" s="85"/>
      <c r="E430" s="85"/>
      <c r="F430" s="85"/>
      <c r="G430" s="85"/>
      <c r="H430" s="85"/>
    </row>
    <row r="431" spans="4:8" ht="15.75">
      <c r="D431" s="85"/>
      <c r="E431" s="85"/>
      <c r="F431" s="85"/>
      <c r="G431" s="85"/>
      <c r="H431" s="85"/>
    </row>
    <row r="432" spans="4:8" ht="15.75">
      <c r="D432" s="85"/>
      <c r="E432" s="85"/>
      <c r="F432" s="85"/>
      <c r="G432" s="85"/>
      <c r="H432" s="85"/>
    </row>
    <row r="433" spans="4:8" ht="15.75">
      <c r="D433" s="85"/>
      <c r="E433" s="85"/>
      <c r="F433" s="85"/>
      <c r="G433" s="85"/>
      <c r="H433" s="85"/>
    </row>
    <row r="434" spans="4:8" ht="15.75">
      <c r="D434" s="85"/>
      <c r="E434" s="85"/>
      <c r="F434" s="85"/>
      <c r="G434" s="85"/>
      <c r="H434" s="85"/>
    </row>
    <row r="435" spans="4:8" ht="15.75">
      <c r="D435" s="85"/>
      <c r="E435" s="85"/>
      <c r="F435" s="85"/>
      <c r="G435" s="85"/>
      <c r="H435" s="85"/>
    </row>
    <row r="436" spans="4:8" ht="15.75">
      <c r="D436" s="85"/>
      <c r="E436" s="85"/>
      <c r="F436" s="85"/>
      <c r="G436" s="85"/>
      <c r="H436" s="85"/>
    </row>
    <row r="437" spans="4:8" ht="15.75">
      <c r="D437" s="85"/>
      <c r="E437" s="85"/>
      <c r="F437" s="85"/>
      <c r="G437" s="85"/>
      <c r="H437" s="85"/>
    </row>
    <row r="438" spans="4:8" ht="15.75">
      <c r="D438" s="85"/>
      <c r="E438" s="85"/>
      <c r="F438" s="85"/>
      <c r="G438" s="85"/>
      <c r="H438" s="85"/>
    </row>
    <row r="439" spans="4:8" ht="15.75">
      <c r="D439" s="85"/>
      <c r="E439" s="85"/>
      <c r="F439" s="85"/>
      <c r="G439" s="85"/>
      <c r="H439" s="85"/>
    </row>
    <row r="440" spans="4:8" ht="15.75">
      <c r="D440" s="85"/>
      <c r="E440" s="85"/>
      <c r="F440" s="85"/>
      <c r="G440" s="85"/>
      <c r="H440" s="85"/>
    </row>
    <row r="441" spans="4:8" ht="15.75">
      <c r="D441" s="85"/>
      <c r="E441" s="85"/>
      <c r="F441" s="85"/>
      <c r="G441" s="85"/>
      <c r="H441" s="85"/>
    </row>
    <row r="442" spans="4:8" ht="15.75">
      <c r="D442" s="85"/>
      <c r="E442" s="85"/>
      <c r="F442" s="85"/>
      <c r="G442" s="85"/>
      <c r="H442" s="85"/>
    </row>
    <row r="443" spans="4:8" ht="15.75">
      <c r="D443" s="85"/>
      <c r="E443" s="85"/>
      <c r="F443" s="85"/>
      <c r="G443" s="85"/>
      <c r="H443" s="85"/>
    </row>
    <row r="444" spans="4:8" ht="15.75">
      <c r="D444" s="85"/>
      <c r="E444" s="85"/>
      <c r="F444" s="85"/>
      <c r="G444" s="85"/>
      <c r="H444" s="85"/>
    </row>
    <row r="445" spans="4:8" ht="15.75">
      <c r="D445" s="85"/>
      <c r="E445" s="85"/>
      <c r="F445" s="85"/>
      <c r="G445" s="85"/>
      <c r="H445" s="85"/>
    </row>
    <row r="446" spans="4:8" ht="15.75">
      <c r="D446" s="85"/>
      <c r="E446" s="85"/>
      <c r="F446" s="85"/>
      <c r="G446" s="85"/>
      <c r="H446" s="85"/>
    </row>
    <row r="447" spans="4:8" ht="15.75">
      <c r="D447" s="85"/>
      <c r="E447" s="85"/>
      <c r="F447" s="85"/>
      <c r="G447" s="85"/>
      <c r="H447" s="85"/>
    </row>
    <row r="448" spans="4:8" ht="15.75">
      <c r="D448" s="85"/>
      <c r="E448" s="85"/>
      <c r="F448" s="85"/>
      <c r="G448" s="85"/>
      <c r="H448" s="85"/>
    </row>
    <row r="449" spans="4:8" ht="15.75">
      <c r="D449" s="85"/>
      <c r="E449" s="85"/>
      <c r="F449" s="85"/>
      <c r="G449" s="85"/>
      <c r="H449" s="85"/>
    </row>
    <row r="450" spans="4:8" ht="15.75">
      <c r="D450" s="85"/>
      <c r="E450" s="85"/>
      <c r="F450" s="85"/>
      <c r="G450" s="85"/>
      <c r="H450" s="85"/>
    </row>
    <row r="451" spans="4:8" ht="15.75">
      <c r="D451" s="85"/>
      <c r="E451" s="85"/>
      <c r="F451" s="85"/>
      <c r="G451" s="85"/>
      <c r="H451" s="85"/>
    </row>
    <row r="452" spans="4:8" ht="15.75">
      <c r="D452" s="85"/>
      <c r="E452" s="85"/>
      <c r="F452" s="85"/>
      <c r="G452" s="85"/>
      <c r="H452" s="85"/>
    </row>
    <row r="453" spans="4:8" ht="15.75">
      <c r="D453" s="85"/>
      <c r="E453" s="85"/>
      <c r="F453" s="85"/>
      <c r="G453" s="85"/>
      <c r="H453" s="85"/>
    </row>
    <row r="454" spans="4:8" ht="15.75">
      <c r="D454" s="85"/>
      <c r="E454" s="85"/>
      <c r="F454" s="85"/>
      <c r="G454" s="85"/>
      <c r="H454" s="85"/>
    </row>
    <row r="455" spans="4:8" ht="15.75">
      <c r="D455" s="85"/>
      <c r="E455" s="85"/>
      <c r="F455" s="85"/>
      <c r="G455" s="85"/>
      <c r="H455" s="85"/>
    </row>
    <row r="456" spans="4:8" ht="15.75">
      <c r="D456" s="85"/>
      <c r="E456" s="85"/>
      <c r="F456" s="85"/>
      <c r="G456" s="85"/>
      <c r="H456" s="85"/>
    </row>
    <row r="457" spans="4:8" ht="15.75">
      <c r="D457" s="85"/>
      <c r="E457" s="85"/>
      <c r="F457" s="85"/>
      <c r="G457" s="85"/>
      <c r="H457" s="85"/>
    </row>
    <row r="458" spans="4:8" ht="15.75">
      <c r="D458" s="85"/>
      <c r="E458" s="85"/>
      <c r="F458" s="85"/>
      <c r="G458" s="85"/>
      <c r="H458" s="85"/>
    </row>
    <row r="459" spans="4:8" ht="15.75">
      <c r="D459" s="85"/>
      <c r="E459" s="85"/>
      <c r="F459" s="85"/>
      <c r="G459" s="85"/>
      <c r="H459" s="85"/>
    </row>
    <row r="460" spans="4:8" ht="15.75">
      <c r="D460" s="85"/>
      <c r="E460" s="85"/>
      <c r="F460" s="85"/>
      <c r="G460" s="85"/>
      <c r="H460" s="85"/>
    </row>
    <row r="461" spans="4:8" ht="15.75">
      <c r="D461" s="85"/>
      <c r="E461" s="85"/>
      <c r="F461" s="85"/>
      <c r="G461" s="85"/>
      <c r="H461" s="85"/>
    </row>
    <row r="462" spans="4:8" ht="15.75">
      <c r="D462" s="85"/>
      <c r="E462" s="85"/>
      <c r="F462" s="85"/>
      <c r="G462" s="85"/>
      <c r="H462" s="85"/>
    </row>
    <row r="463" spans="4:8" ht="15.75">
      <c r="D463" s="85"/>
      <c r="E463" s="85"/>
      <c r="F463" s="85"/>
      <c r="G463" s="85"/>
      <c r="H463" s="85"/>
    </row>
    <row r="464" spans="4:8" ht="15.75">
      <c r="D464" s="85"/>
      <c r="E464" s="85"/>
      <c r="F464" s="85"/>
      <c r="G464" s="85"/>
      <c r="H464" s="85"/>
    </row>
    <row r="465" spans="4:8" ht="15.75">
      <c r="D465" s="85"/>
      <c r="E465" s="85"/>
      <c r="F465" s="85"/>
      <c r="G465" s="85"/>
      <c r="H465" s="85"/>
    </row>
    <row r="466" spans="4:8" ht="15.75">
      <c r="D466" s="85"/>
      <c r="E466" s="85"/>
      <c r="F466" s="85"/>
      <c r="G466" s="85"/>
      <c r="H466" s="85"/>
    </row>
    <row r="467" spans="4:8" ht="15.75">
      <c r="D467" s="85"/>
      <c r="E467" s="85"/>
      <c r="F467" s="85"/>
      <c r="G467" s="85"/>
      <c r="H467" s="85"/>
    </row>
    <row r="468" spans="4:8" ht="15.75">
      <c r="D468" s="85"/>
      <c r="E468" s="85"/>
      <c r="F468" s="85"/>
      <c r="G468" s="85"/>
      <c r="H468" s="85"/>
    </row>
    <row r="469" spans="4:8" ht="15.75">
      <c r="D469" s="85"/>
      <c r="E469" s="85"/>
      <c r="F469" s="85"/>
      <c r="G469" s="85"/>
      <c r="H469" s="85"/>
    </row>
    <row r="470" spans="4:8" ht="15.75">
      <c r="D470" s="85"/>
      <c r="E470" s="85"/>
      <c r="F470" s="85"/>
      <c r="G470" s="85"/>
      <c r="H470" s="85"/>
    </row>
    <row r="471" spans="4:8" ht="15.75">
      <c r="D471" s="85"/>
      <c r="E471" s="85"/>
      <c r="F471" s="85"/>
      <c r="G471" s="85"/>
      <c r="H471" s="85"/>
    </row>
    <row r="472" spans="4:8" ht="15.75">
      <c r="D472" s="85"/>
      <c r="E472" s="85"/>
      <c r="F472" s="85"/>
      <c r="G472" s="85"/>
      <c r="H472" s="85"/>
    </row>
    <row r="473" spans="4:8" ht="15.75">
      <c r="D473" s="85"/>
      <c r="E473" s="85"/>
      <c r="F473" s="85"/>
      <c r="G473" s="85"/>
      <c r="H473" s="85"/>
    </row>
    <row r="474" spans="4:8" ht="15.75">
      <c r="D474" s="85"/>
      <c r="E474" s="85"/>
      <c r="F474" s="85"/>
      <c r="G474" s="85"/>
      <c r="H474" s="85"/>
    </row>
    <row r="475" spans="4:8" ht="15.75">
      <c r="D475" s="85"/>
      <c r="E475" s="85"/>
      <c r="F475" s="85"/>
      <c r="G475" s="85"/>
      <c r="H475" s="85"/>
    </row>
    <row r="476" spans="4:8" ht="15.75">
      <c r="D476" s="85"/>
      <c r="E476" s="85"/>
      <c r="F476" s="85"/>
      <c r="G476" s="85"/>
      <c r="H476" s="85"/>
    </row>
    <row r="477" spans="4:8" ht="15.75">
      <c r="D477" s="85"/>
      <c r="E477" s="85"/>
      <c r="F477" s="85"/>
      <c r="G477" s="85"/>
      <c r="H477" s="85"/>
    </row>
    <row r="478" spans="4:8" ht="15.75">
      <c r="D478" s="85"/>
      <c r="E478" s="85"/>
      <c r="F478" s="85"/>
      <c r="G478" s="85"/>
      <c r="H478" s="85"/>
    </row>
    <row r="479" spans="4:8" ht="15.75">
      <c r="D479" s="85"/>
      <c r="E479" s="85"/>
      <c r="F479" s="85"/>
      <c r="G479" s="85"/>
      <c r="H479" s="85"/>
    </row>
    <row r="480" spans="4:8" ht="15.75">
      <c r="D480" s="85"/>
      <c r="E480" s="85"/>
      <c r="F480" s="85"/>
      <c r="G480" s="85"/>
      <c r="H480" s="85"/>
    </row>
    <row r="481" spans="4:8" ht="15.75">
      <c r="D481" s="85"/>
      <c r="E481" s="85"/>
      <c r="F481" s="85"/>
      <c r="G481" s="85"/>
      <c r="H481" s="85"/>
    </row>
    <row r="482" spans="4:8" ht="15.75">
      <c r="D482" s="85"/>
      <c r="E482" s="85"/>
      <c r="F482" s="85"/>
      <c r="G482" s="85"/>
      <c r="H482" s="85"/>
    </row>
    <row r="483" spans="4:8" ht="15.75">
      <c r="D483" s="85"/>
      <c r="E483" s="85"/>
      <c r="F483" s="85"/>
      <c r="G483" s="85"/>
      <c r="H483" s="85"/>
    </row>
    <row r="484" spans="4:8" ht="15.75">
      <c r="D484" s="85"/>
      <c r="E484" s="85"/>
      <c r="F484" s="85"/>
      <c r="G484" s="85"/>
      <c r="H484" s="85"/>
    </row>
    <row r="485" spans="4:8" ht="15.75">
      <c r="D485" s="85"/>
      <c r="E485" s="85"/>
      <c r="F485" s="85"/>
      <c r="G485" s="85"/>
      <c r="H485" s="85"/>
    </row>
    <row r="486" spans="4:8" ht="15.75">
      <c r="D486" s="85"/>
      <c r="E486" s="85"/>
      <c r="F486" s="85"/>
      <c r="G486" s="85"/>
      <c r="H486" s="85"/>
    </row>
    <row r="487" spans="4:8" ht="15.75">
      <c r="D487" s="85"/>
      <c r="E487" s="85"/>
      <c r="F487" s="85"/>
      <c r="G487" s="85"/>
      <c r="H487" s="85"/>
    </row>
    <row r="488" spans="4:8" ht="15.75">
      <c r="D488" s="85"/>
      <c r="E488" s="85"/>
      <c r="F488" s="85"/>
      <c r="G488" s="85"/>
      <c r="H488" s="85"/>
    </row>
    <row r="489" spans="4:8" ht="15.75">
      <c r="D489" s="85"/>
      <c r="E489" s="85"/>
      <c r="F489" s="85"/>
      <c r="G489" s="85"/>
      <c r="H489" s="85"/>
    </row>
    <row r="490" spans="4:8" ht="15.75">
      <c r="D490" s="85"/>
      <c r="E490" s="85"/>
      <c r="F490" s="85"/>
      <c r="G490" s="85"/>
      <c r="H490" s="85"/>
    </row>
    <row r="491" spans="4:8" ht="15.75">
      <c r="D491" s="85"/>
      <c r="E491" s="85"/>
      <c r="F491" s="85"/>
      <c r="G491" s="85"/>
      <c r="H491" s="85"/>
    </row>
    <row r="492" spans="4:8" ht="15.75">
      <c r="D492" s="85"/>
      <c r="E492" s="85"/>
      <c r="F492" s="85"/>
      <c r="G492" s="85"/>
      <c r="H492" s="85"/>
    </row>
    <row r="493" spans="4:8" ht="15.75">
      <c r="D493" s="85"/>
      <c r="E493" s="85"/>
      <c r="F493" s="85"/>
      <c r="G493" s="85"/>
      <c r="H493" s="85"/>
    </row>
    <row r="494" spans="4:8" ht="15.75">
      <c r="D494" s="85"/>
      <c r="E494" s="85"/>
      <c r="F494" s="85"/>
      <c r="G494" s="85"/>
      <c r="H494" s="85"/>
    </row>
    <row r="495" spans="4:8" ht="15.75">
      <c r="D495" s="85"/>
      <c r="E495" s="85"/>
      <c r="F495" s="85"/>
      <c r="G495" s="85"/>
      <c r="H495" s="85"/>
    </row>
    <row r="496" spans="4:8" ht="15.75">
      <c r="D496" s="85"/>
      <c r="E496" s="85"/>
      <c r="F496" s="85"/>
      <c r="G496" s="85"/>
      <c r="H496" s="85"/>
    </row>
    <row r="497" spans="4:8" ht="15.75">
      <c r="D497" s="85"/>
      <c r="E497" s="85"/>
      <c r="F497" s="85"/>
      <c r="G497" s="85"/>
      <c r="H497" s="85"/>
    </row>
    <row r="498" spans="4:8" ht="15.75">
      <c r="D498" s="85"/>
      <c r="E498" s="85"/>
      <c r="F498" s="85"/>
      <c r="G498" s="85"/>
      <c r="H498" s="85"/>
    </row>
    <row r="499" spans="4:8" ht="15.75">
      <c r="D499" s="85"/>
      <c r="E499" s="85"/>
      <c r="F499" s="85"/>
      <c r="G499" s="85"/>
      <c r="H499" s="85"/>
    </row>
    <row r="500" spans="4:8" ht="15.75">
      <c r="D500" s="85"/>
      <c r="E500" s="85"/>
      <c r="F500" s="85"/>
      <c r="G500" s="85"/>
      <c r="H500" s="85"/>
    </row>
    <row r="501" spans="4:8" ht="15.75">
      <c r="D501" s="85"/>
      <c r="E501" s="85"/>
      <c r="F501" s="85"/>
      <c r="G501" s="85"/>
      <c r="H501" s="85"/>
    </row>
    <row r="502" spans="4:8" ht="15.75">
      <c r="D502" s="85"/>
      <c r="E502" s="85"/>
      <c r="F502" s="85"/>
      <c r="G502" s="85"/>
      <c r="H502" s="85"/>
    </row>
    <row r="503" spans="4:8" ht="15.75">
      <c r="D503" s="85"/>
      <c r="E503" s="85"/>
      <c r="F503" s="85"/>
      <c r="G503" s="85"/>
      <c r="H503" s="85"/>
    </row>
    <row r="504" spans="4:8" ht="15.75">
      <c r="D504" s="85"/>
      <c r="E504" s="85"/>
      <c r="F504" s="85"/>
      <c r="G504" s="85"/>
      <c r="H504" s="85"/>
    </row>
    <row r="505" spans="4:8" ht="15.75">
      <c r="D505" s="85"/>
      <c r="E505" s="85"/>
      <c r="F505" s="85"/>
      <c r="G505" s="85"/>
      <c r="H505" s="85"/>
    </row>
    <row r="506" spans="4:8" ht="15.75">
      <c r="D506" s="85"/>
      <c r="E506" s="85"/>
      <c r="F506" s="85"/>
      <c r="G506" s="85"/>
      <c r="H506" s="85"/>
    </row>
    <row r="507" spans="4:8" ht="15.75">
      <c r="D507" s="85"/>
      <c r="E507" s="85"/>
      <c r="F507" s="85"/>
      <c r="G507" s="85"/>
      <c r="H507" s="85"/>
    </row>
    <row r="508" spans="4:8" ht="15.75">
      <c r="D508" s="85"/>
      <c r="E508" s="85"/>
      <c r="F508" s="85"/>
      <c r="G508" s="85"/>
      <c r="H508" s="85"/>
    </row>
    <row r="509" spans="4:8" ht="15.75">
      <c r="D509" s="85"/>
      <c r="E509" s="85"/>
      <c r="F509" s="85"/>
      <c r="G509" s="85"/>
      <c r="H509" s="85"/>
    </row>
    <row r="510" spans="4:8" ht="15.75">
      <c r="D510" s="85"/>
      <c r="E510" s="85"/>
      <c r="F510" s="85"/>
      <c r="G510" s="85"/>
      <c r="H510" s="85"/>
    </row>
    <row r="511" spans="4:8" ht="15.75">
      <c r="D511" s="85"/>
      <c r="E511" s="85"/>
      <c r="F511" s="85"/>
      <c r="G511" s="85"/>
      <c r="H511" s="85"/>
    </row>
    <row r="512" spans="4:8" ht="15.75">
      <c r="D512" s="85"/>
      <c r="E512" s="85"/>
      <c r="F512" s="85"/>
      <c r="G512" s="85"/>
      <c r="H512" s="85"/>
    </row>
    <row r="513" spans="4:8" ht="15.75">
      <c r="D513" s="85"/>
      <c r="E513" s="85"/>
      <c r="F513" s="85"/>
      <c r="G513" s="85"/>
      <c r="H513" s="85"/>
    </row>
    <row r="514" spans="4:8" ht="15.75">
      <c r="D514" s="85"/>
      <c r="E514" s="85"/>
      <c r="F514" s="85"/>
      <c r="G514" s="85"/>
      <c r="H514" s="85"/>
    </row>
    <row r="515" spans="4:8" ht="15.75">
      <c r="D515" s="85"/>
      <c r="E515" s="85"/>
      <c r="F515" s="85"/>
      <c r="G515" s="85"/>
      <c r="H515" s="85"/>
    </row>
    <row r="516" spans="4:8" ht="15.75">
      <c r="D516" s="85"/>
      <c r="E516" s="85"/>
      <c r="F516" s="85"/>
      <c r="G516" s="85"/>
      <c r="H516" s="85"/>
    </row>
    <row r="517" spans="4:8" ht="15.75">
      <c r="D517" s="85"/>
      <c r="E517" s="85"/>
      <c r="F517" s="85"/>
      <c r="G517" s="85"/>
      <c r="H517" s="85"/>
    </row>
    <row r="518" spans="4:8" ht="15.75">
      <c r="D518" s="85"/>
      <c r="E518" s="85"/>
      <c r="F518" s="85"/>
      <c r="G518" s="85"/>
      <c r="H518" s="85"/>
    </row>
    <row r="519" spans="4:8" ht="15.75">
      <c r="D519" s="85"/>
      <c r="E519" s="85"/>
      <c r="F519" s="85"/>
      <c r="G519" s="85"/>
      <c r="H519" s="85"/>
    </row>
    <row r="520" spans="4:8" ht="15.75">
      <c r="D520" s="85"/>
      <c r="E520" s="85"/>
      <c r="F520" s="85"/>
      <c r="G520" s="85"/>
      <c r="H520" s="85"/>
    </row>
    <row r="521" spans="4:8" ht="15.75">
      <c r="D521" s="85"/>
      <c r="E521" s="85"/>
      <c r="F521" s="85"/>
      <c r="G521" s="85"/>
      <c r="H521" s="85"/>
    </row>
    <row r="522" spans="4:8" ht="15.75">
      <c r="D522" s="85"/>
      <c r="E522" s="85"/>
      <c r="F522" s="85"/>
      <c r="G522" s="85"/>
      <c r="H522" s="85"/>
    </row>
    <row r="523" spans="4:8" ht="15.75">
      <c r="D523" s="85"/>
      <c r="E523" s="85"/>
      <c r="F523" s="85"/>
      <c r="G523" s="85"/>
      <c r="H523" s="85"/>
    </row>
    <row r="524" spans="4:8" ht="15.75">
      <c r="D524" s="85"/>
      <c r="E524" s="85"/>
      <c r="F524" s="85"/>
      <c r="G524" s="85"/>
      <c r="H524" s="85"/>
    </row>
    <row r="525" spans="4:8" ht="15.75">
      <c r="D525" s="85"/>
      <c r="E525" s="85"/>
      <c r="F525" s="85"/>
      <c r="G525" s="85"/>
      <c r="H525" s="85"/>
    </row>
    <row r="526" spans="4:8" ht="15.75">
      <c r="D526" s="85"/>
      <c r="E526" s="85"/>
      <c r="F526" s="85"/>
      <c r="G526" s="85"/>
      <c r="H526" s="85"/>
    </row>
    <row r="527" spans="4:8" ht="15.75">
      <c r="D527" s="85"/>
      <c r="E527" s="85"/>
      <c r="F527" s="85"/>
      <c r="G527" s="85"/>
      <c r="H527" s="85"/>
    </row>
    <row r="528" spans="4:8" ht="15.75">
      <c r="D528" s="85"/>
      <c r="E528" s="85"/>
      <c r="F528" s="85"/>
      <c r="G528" s="85"/>
      <c r="H528" s="85"/>
    </row>
    <row r="529" spans="4:8" ht="15.75">
      <c r="D529" s="85"/>
      <c r="E529" s="85"/>
      <c r="F529" s="85"/>
      <c r="G529" s="85"/>
      <c r="H529" s="85"/>
    </row>
    <row r="530" spans="4:8" ht="15.75">
      <c r="D530" s="85"/>
      <c r="E530" s="85"/>
      <c r="F530" s="85"/>
      <c r="G530" s="85"/>
      <c r="H530" s="85"/>
    </row>
    <row r="531" spans="4:8" ht="15.75">
      <c r="D531" s="85"/>
      <c r="E531" s="85"/>
      <c r="F531" s="85"/>
      <c r="G531" s="85"/>
      <c r="H531" s="85"/>
    </row>
    <row r="532" spans="4:8" ht="15.75">
      <c r="D532" s="85"/>
      <c r="E532" s="85"/>
      <c r="F532" s="85"/>
      <c r="G532" s="85"/>
      <c r="H532" s="85"/>
    </row>
    <row r="533" spans="4:8" ht="15.75">
      <c r="D533" s="85"/>
      <c r="E533" s="85"/>
      <c r="F533" s="85"/>
      <c r="G533" s="85"/>
      <c r="H533" s="85"/>
    </row>
    <row r="534" spans="4:8" ht="15.75">
      <c r="D534" s="85"/>
      <c r="E534" s="85"/>
      <c r="F534" s="85"/>
      <c r="G534" s="85"/>
      <c r="H534" s="85"/>
    </row>
    <row r="535" spans="4:8" ht="15.75">
      <c r="D535" s="85"/>
      <c r="E535" s="85"/>
      <c r="F535" s="85"/>
      <c r="G535" s="85"/>
      <c r="H535" s="85"/>
    </row>
    <row r="536" spans="4:8" ht="15.75">
      <c r="D536" s="85"/>
      <c r="E536" s="85"/>
      <c r="F536" s="85"/>
      <c r="G536" s="85"/>
      <c r="H536" s="85"/>
    </row>
    <row r="537" spans="4:8" ht="15.75">
      <c r="D537" s="85"/>
      <c r="E537" s="85"/>
      <c r="F537" s="85"/>
      <c r="G537" s="85"/>
      <c r="H537" s="85"/>
    </row>
    <row r="538" spans="4:8" ht="15.75">
      <c r="D538" s="85"/>
      <c r="E538" s="85"/>
      <c r="F538" s="85"/>
      <c r="G538" s="85"/>
      <c r="H538" s="85"/>
    </row>
    <row r="539" spans="4:8" ht="15.75">
      <c r="D539" s="85"/>
      <c r="E539" s="85"/>
      <c r="F539" s="85"/>
      <c r="G539" s="85"/>
      <c r="H539" s="85"/>
    </row>
    <row r="540" spans="4:8" ht="15.75">
      <c r="D540" s="85"/>
      <c r="E540" s="85"/>
      <c r="F540" s="85"/>
      <c r="G540" s="85"/>
      <c r="H540" s="85"/>
    </row>
    <row r="541" spans="4:8" ht="15.75">
      <c r="D541" s="85"/>
      <c r="E541" s="85"/>
      <c r="F541" s="85"/>
      <c r="G541" s="85"/>
      <c r="H541" s="85"/>
    </row>
    <row r="542" spans="4:8" ht="15.75">
      <c r="D542" s="85"/>
      <c r="E542" s="85"/>
      <c r="F542" s="85"/>
      <c r="G542" s="85"/>
      <c r="H542" s="85"/>
    </row>
    <row r="543" spans="4:8" ht="15.75">
      <c r="D543" s="85"/>
      <c r="E543" s="85"/>
      <c r="F543" s="85"/>
      <c r="G543" s="85"/>
      <c r="H543" s="85"/>
    </row>
    <row r="544" spans="4:8" ht="15.75">
      <c r="D544" s="85"/>
      <c r="E544" s="85"/>
      <c r="F544" s="85"/>
      <c r="G544" s="85"/>
      <c r="H544" s="85"/>
    </row>
    <row r="545" spans="4:8" ht="15.75">
      <c r="D545" s="85"/>
      <c r="E545" s="85"/>
      <c r="F545" s="85"/>
      <c r="G545" s="85"/>
      <c r="H545" s="85"/>
    </row>
    <row r="546" spans="4:8" ht="15.75">
      <c r="D546" s="85"/>
      <c r="E546" s="85"/>
      <c r="F546" s="85"/>
      <c r="G546" s="85"/>
      <c r="H546" s="85"/>
    </row>
    <row r="547" spans="4:8" ht="15.75">
      <c r="D547" s="85"/>
      <c r="E547" s="85"/>
      <c r="F547" s="85"/>
      <c r="G547" s="85"/>
      <c r="H547" s="85"/>
    </row>
    <row r="548" spans="4:8" ht="15.75">
      <c r="D548" s="85"/>
      <c r="E548" s="85"/>
      <c r="F548" s="85"/>
      <c r="G548" s="85"/>
      <c r="H548" s="85"/>
    </row>
    <row r="549" spans="4:8" ht="15.75">
      <c r="D549" s="85"/>
      <c r="E549" s="85"/>
      <c r="F549" s="85"/>
      <c r="G549" s="85"/>
      <c r="H549" s="85"/>
    </row>
    <row r="550" spans="4:8" ht="15.75">
      <c r="D550" s="85"/>
      <c r="E550" s="85"/>
      <c r="F550" s="85"/>
      <c r="G550" s="85"/>
      <c r="H550" s="85"/>
    </row>
    <row r="551" spans="4:8" ht="15.75">
      <c r="D551" s="85"/>
      <c r="E551" s="85"/>
      <c r="F551" s="85"/>
      <c r="G551" s="85"/>
      <c r="H551" s="85"/>
    </row>
    <row r="552" spans="4:8" ht="15.75">
      <c r="D552" s="85"/>
      <c r="E552" s="85"/>
      <c r="F552" s="85"/>
      <c r="G552" s="85"/>
      <c r="H552" s="85"/>
    </row>
    <row r="553" spans="4:8" ht="15.75">
      <c r="D553" s="85"/>
      <c r="E553" s="85"/>
      <c r="F553" s="85"/>
      <c r="G553" s="85"/>
      <c r="H553" s="85"/>
    </row>
    <row r="554" spans="4:8" ht="15.75">
      <c r="D554" s="85"/>
      <c r="E554" s="85"/>
      <c r="F554" s="85"/>
      <c r="G554" s="85"/>
      <c r="H554" s="85"/>
    </row>
    <row r="555" spans="4:8" ht="15.75">
      <c r="D555" s="85"/>
      <c r="E555" s="85"/>
      <c r="F555" s="85"/>
      <c r="G555" s="85"/>
      <c r="H555" s="85"/>
    </row>
    <row r="556" spans="4:8" ht="15.75">
      <c r="D556" s="85"/>
      <c r="E556" s="85"/>
      <c r="F556" s="85"/>
      <c r="G556" s="85"/>
      <c r="H556" s="85"/>
    </row>
    <row r="557" spans="4:8" ht="15.75">
      <c r="D557" s="85"/>
      <c r="E557" s="85"/>
      <c r="F557" s="85"/>
      <c r="G557" s="85"/>
      <c r="H557" s="85"/>
    </row>
    <row r="558" spans="4:8" ht="15.75">
      <c r="D558" s="85"/>
      <c r="E558" s="85"/>
      <c r="F558" s="85"/>
      <c r="G558" s="85"/>
      <c r="H558" s="85"/>
    </row>
    <row r="559" spans="4:8" ht="15.75">
      <c r="D559" s="85"/>
      <c r="E559" s="85"/>
      <c r="F559" s="85"/>
      <c r="G559" s="85"/>
      <c r="H559" s="85"/>
    </row>
    <row r="560" spans="4:8" ht="15.75">
      <c r="D560" s="85"/>
      <c r="E560" s="85"/>
      <c r="F560" s="85"/>
      <c r="G560" s="85"/>
      <c r="H560" s="85"/>
    </row>
    <row r="561" spans="4:8" ht="15.75">
      <c r="D561" s="85"/>
      <c r="E561" s="85"/>
      <c r="F561" s="85"/>
      <c r="G561" s="85"/>
      <c r="H561" s="85"/>
    </row>
    <row r="562" spans="4:8" ht="15.75">
      <c r="D562" s="85"/>
      <c r="E562" s="85"/>
      <c r="F562" s="85"/>
      <c r="G562" s="85"/>
      <c r="H562" s="85"/>
    </row>
    <row r="563" spans="4:8" ht="15.75">
      <c r="D563" s="85"/>
      <c r="E563" s="85"/>
      <c r="F563" s="85"/>
      <c r="G563" s="85"/>
      <c r="H563" s="85"/>
    </row>
    <row r="564" spans="4:8" ht="15.75">
      <c r="D564" s="85"/>
      <c r="E564" s="85"/>
      <c r="F564" s="85"/>
      <c r="G564" s="85"/>
      <c r="H564" s="85"/>
    </row>
    <row r="565" spans="4:8" ht="15.75">
      <c r="D565" s="85"/>
      <c r="E565" s="85"/>
      <c r="F565" s="85"/>
      <c r="G565" s="85"/>
      <c r="H565" s="85"/>
    </row>
    <row r="566" spans="4:8" ht="15.75">
      <c r="D566" s="85"/>
      <c r="E566" s="85"/>
      <c r="F566" s="85"/>
      <c r="G566" s="85"/>
      <c r="H566" s="85"/>
    </row>
    <row r="567" spans="4:8" ht="15.75">
      <c r="D567" s="85"/>
      <c r="E567" s="85"/>
      <c r="F567" s="85"/>
      <c r="G567" s="85"/>
      <c r="H567" s="85"/>
    </row>
    <row r="568" spans="4:8" ht="15.75">
      <c r="D568" s="85"/>
      <c r="E568" s="85"/>
      <c r="F568" s="85"/>
      <c r="G568" s="85"/>
      <c r="H568" s="85"/>
    </row>
    <row r="569" spans="4:8" ht="15.75">
      <c r="D569" s="85"/>
      <c r="E569" s="85"/>
      <c r="F569" s="85"/>
      <c r="G569" s="85"/>
      <c r="H569" s="85"/>
    </row>
    <row r="570" spans="4:8" ht="15.75">
      <c r="D570" s="85"/>
      <c r="E570" s="85"/>
      <c r="F570" s="85"/>
      <c r="G570" s="85"/>
      <c r="H570" s="85"/>
    </row>
    <row r="571" spans="4:8" ht="15.75">
      <c r="D571" s="85"/>
      <c r="E571" s="85"/>
      <c r="F571" s="85"/>
      <c r="G571" s="85"/>
      <c r="H571" s="85"/>
    </row>
    <row r="572" spans="4:8" ht="15.75">
      <c r="D572" s="85"/>
      <c r="E572" s="85"/>
      <c r="F572" s="85"/>
      <c r="G572" s="85"/>
      <c r="H572" s="85"/>
    </row>
    <row r="573" spans="4:8" ht="15.75">
      <c r="D573" s="85"/>
      <c r="E573" s="85"/>
      <c r="F573" s="85"/>
      <c r="G573" s="85"/>
      <c r="H573" s="85"/>
    </row>
    <row r="574" spans="4:8" ht="15.75">
      <c r="D574" s="85"/>
      <c r="E574" s="85"/>
      <c r="F574" s="85"/>
      <c r="G574" s="85"/>
      <c r="H574" s="85"/>
    </row>
    <row r="575" spans="4:8" ht="15.75">
      <c r="D575" s="85"/>
      <c r="E575" s="85"/>
      <c r="F575" s="85"/>
      <c r="G575" s="85"/>
      <c r="H575" s="85"/>
    </row>
    <row r="576" spans="4:8" ht="15.75">
      <c r="D576" s="85"/>
      <c r="E576" s="85"/>
      <c r="F576" s="85"/>
      <c r="G576" s="85"/>
      <c r="H576" s="85"/>
    </row>
    <row r="577" spans="4:8" ht="15.75">
      <c r="D577" s="85"/>
      <c r="E577" s="85"/>
      <c r="F577" s="85"/>
      <c r="G577" s="85"/>
      <c r="H577" s="85"/>
    </row>
    <row r="578" spans="4:8" ht="15.75">
      <c r="D578" s="85"/>
      <c r="E578" s="85"/>
      <c r="F578" s="85"/>
      <c r="G578" s="85"/>
      <c r="H578" s="85"/>
    </row>
    <row r="579" spans="4:8" ht="15.75">
      <c r="D579" s="85"/>
      <c r="E579" s="85"/>
      <c r="F579" s="85"/>
      <c r="G579" s="85"/>
      <c r="H579" s="85"/>
    </row>
    <row r="580" spans="4:8" ht="15.75">
      <c r="D580" s="85"/>
      <c r="E580" s="85"/>
      <c r="F580" s="85"/>
      <c r="G580" s="85"/>
      <c r="H580" s="85"/>
    </row>
    <row r="581" spans="4:8" ht="15.75">
      <c r="D581" s="85"/>
      <c r="E581" s="85"/>
      <c r="F581" s="85"/>
      <c r="G581" s="85"/>
      <c r="H581" s="85"/>
    </row>
    <row r="582" spans="4:8" ht="15.75">
      <c r="D582" s="85"/>
      <c r="E582" s="85"/>
      <c r="F582" s="85"/>
      <c r="G582" s="85"/>
      <c r="H582" s="85"/>
    </row>
    <row r="583" spans="4:8" ht="15.75">
      <c r="D583" s="85"/>
      <c r="E583" s="85"/>
      <c r="F583" s="85"/>
      <c r="G583" s="85"/>
      <c r="H583" s="85"/>
    </row>
    <row r="584" spans="4:8" ht="15.75">
      <c r="D584" s="85"/>
      <c r="E584" s="85"/>
      <c r="F584" s="85"/>
      <c r="G584" s="85"/>
      <c r="H584" s="85"/>
    </row>
    <row r="585" spans="4:8" ht="15.75">
      <c r="D585" s="85"/>
      <c r="E585" s="85"/>
      <c r="F585" s="85"/>
      <c r="G585" s="85"/>
      <c r="H585" s="85"/>
    </row>
    <row r="586" spans="4:8" ht="15.75">
      <c r="D586" s="85"/>
      <c r="E586" s="85"/>
      <c r="F586" s="85"/>
      <c r="G586" s="85"/>
      <c r="H586" s="85"/>
    </row>
    <row r="587" spans="4:8" ht="15.75">
      <c r="D587" s="85"/>
      <c r="E587" s="85"/>
      <c r="F587" s="85"/>
      <c r="G587" s="85"/>
      <c r="H587" s="85"/>
    </row>
    <row r="588" spans="4:8" ht="15.75">
      <c r="D588" s="85"/>
      <c r="E588" s="85"/>
      <c r="F588" s="85"/>
      <c r="G588" s="85"/>
      <c r="H588" s="85"/>
    </row>
    <row r="589" spans="4:8" ht="15.75">
      <c r="D589" s="85"/>
      <c r="E589" s="85"/>
      <c r="F589" s="85"/>
      <c r="G589" s="85"/>
      <c r="H589" s="85"/>
    </row>
    <row r="590" spans="4:8" ht="15.75">
      <c r="D590" s="85"/>
      <c r="E590" s="85"/>
      <c r="F590" s="85"/>
      <c r="G590" s="85"/>
      <c r="H590" s="85"/>
    </row>
    <row r="591" spans="4:8" ht="15.75">
      <c r="D591" s="85"/>
      <c r="E591" s="85"/>
      <c r="F591" s="85"/>
      <c r="G591" s="85"/>
      <c r="H591" s="85"/>
    </row>
    <row r="592" spans="4:8" ht="15.75">
      <c r="D592" s="85"/>
      <c r="E592" s="85"/>
      <c r="F592" s="85"/>
      <c r="G592" s="85"/>
      <c r="H592" s="85"/>
    </row>
    <row r="593" spans="4:8" ht="15.75">
      <c r="D593" s="85"/>
      <c r="E593" s="85"/>
      <c r="F593" s="85"/>
      <c r="G593" s="85"/>
      <c r="H593" s="85"/>
    </row>
    <row r="594" spans="4:8" ht="15.75">
      <c r="D594" s="85"/>
      <c r="E594" s="85"/>
      <c r="F594" s="85"/>
      <c r="G594" s="85"/>
      <c r="H594" s="85"/>
    </row>
    <row r="595" spans="4:8" ht="15.75">
      <c r="D595" s="85"/>
      <c r="E595" s="85"/>
      <c r="F595" s="85"/>
      <c r="G595" s="85"/>
      <c r="H595" s="85"/>
    </row>
    <row r="596" spans="4:8" ht="15.75">
      <c r="D596" s="85"/>
      <c r="E596" s="85"/>
      <c r="F596" s="85"/>
      <c r="G596" s="85"/>
      <c r="H596" s="85"/>
    </row>
    <row r="597" spans="4:8" ht="15.75">
      <c r="D597" s="85"/>
      <c r="E597" s="85"/>
      <c r="F597" s="85"/>
      <c r="G597" s="85"/>
      <c r="H597" s="85"/>
    </row>
    <row r="598" spans="4:8" ht="15.75">
      <c r="D598" s="85"/>
      <c r="E598" s="85"/>
      <c r="F598" s="85"/>
      <c r="G598" s="85"/>
      <c r="H598" s="85"/>
    </row>
    <row r="599" spans="4:8" ht="15.75">
      <c r="D599" s="85"/>
      <c r="E599" s="85"/>
      <c r="F599" s="85"/>
      <c r="G599" s="85"/>
      <c r="H599" s="85"/>
    </row>
    <row r="600" spans="4:8" ht="15.75">
      <c r="D600" s="85"/>
      <c r="E600" s="85"/>
      <c r="F600" s="85"/>
      <c r="G600" s="85"/>
      <c r="H600" s="85"/>
    </row>
    <row r="601" spans="4:8" ht="15.75">
      <c r="D601" s="85"/>
      <c r="E601" s="85"/>
      <c r="F601" s="85"/>
      <c r="G601" s="85"/>
      <c r="H601" s="85"/>
    </row>
    <row r="602" spans="4:8" ht="15.75">
      <c r="D602" s="85"/>
      <c r="E602" s="85"/>
      <c r="F602" s="85"/>
      <c r="G602" s="85"/>
      <c r="H602" s="85"/>
    </row>
    <row r="603" spans="4:8" ht="15.75">
      <c r="D603" s="85"/>
      <c r="E603" s="85"/>
      <c r="F603" s="85"/>
      <c r="G603" s="85"/>
      <c r="H603" s="85"/>
    </row>
    <row r="604" spans="4:8" ht="15.75">
      <c r="D604" s="85"/>
      <c r="E604" s="85"/>
      <c r="F604" s="85"/>
      <c r="G604" s="85"/>
      <c r="H604" s="85"/>
    </row>
    <row r="605" spans="4:8" ht="15.75">
      <c r="D605" s="85"/>
      <c r="E605" s="85"/>
      <c r="F605" s="85"/>
      <c r="G605" s="85"/>
      <c r="H605" s="85"/>
    </row>
    <row r="606" spans="4:8" ht="15.75">
      <c r="D606" s="85"/>
      <c r="E606" s="85"/>
      <c r="F606" s="85"/>
      <c r="G606" s="85"/>
      <c r="H606" s="85"/>
    </row>
    <row r="607" spans="4:8" ht="15.75">
      <c r="D607" s="85"/>
      <c r="E607" s="85"/>
      <c r="F607" s="85"/>
      <c r="G607" s="85"/>
      <c r="H607" s="85"/>
    </row>
    <row r="608" spans="4:8" ht="15.75">
      <c r="D608" s="85"/>
      <c r="E608" s="85"/>
      <c r="F608" s="85"/>
      <c r="G608" s="85"/>
      <c r="H608" s="85"/>
    </row>
    <row r="609" spans="4:8" ht="15.75">
      <c r="D609" s="85"/>
      <c r="E609" s="85"/>
      <c r="F609" s="85"/>
      <c r="G609" s="85"/>
      <c r="H609" s="85"/>
    </row>
    <row r="610" spans="4:8" ht="15.75">
      <c r="D610" s="85"/>
      <c r="E610" s="85"/>
      <c r="F610" s="85"/>
      <c r="G610" s="85"/>
      <c r="H610" s="85"/>
    </row>
    <row r="611" spans="4:8" ht="15.75">
      <c r="D611" s="85"/>
      <c r="E611" s="85"/>
      <c r="F611" s="85"/>
      <c r="G611" s="85"/>
      <c r="H611" s="85"/>
    </row>
    <row r="612" spans="4:8" ht="15.75">
      <c r="D612" s="85"/>
      <c r="E612" s="85"/>
      <c r="F612" s="85"/>
      <c r="G612" s="85"/>
      <c r="H612" s="85"/>
    </row>
    <row r="613" spans="4:8" ht="15.75">
      <c r="D613" s="85"/>
      <c r="E613" s="85"/>
      <c r="F613" s="85"/>
      <c r="G613" s="85"/>
      <c r="H613" s="85"/>
    </row>
    <row r="614" spans="4:8" ht="15.75">
      <c r="D614" s="85"/>
      <c r="E614" s="85"/>
      <c r="F614" s="85"/>
      <c r="G614" s="85"/>
      <c r="H614" s="85"/>
    </row>
    <row r="615" spans="4:8" ht="15.75">
      <c r="D615" s="85"/>
      <c r="E615" s="85"/>
      <c r="F615" s="85"/>
      <c r="G615" s="85"/>
      <c r="H615" s="85"/>
    </row>
    <row r="616" spans="4:8" ht="15.75">
      <c r="D616" s="85"/>
      <c r="E616" s="85"/>
      <c r="F616" s="85"/>
      <c r="G616" s="85"/>
      <c r="H616" s="85"/>
    </row>
    <row r="617" spans="4:8" ht="15.75">
      <c r="D617" s="85"/>
      <c r="E617" s="85"/>
      <c r="F617" s="85"/>
      <c r="G617" s="85"/>
      <c r="H617" s="85"/>
    </row>
    <row r="618" spans="4:8" ht="15.75">
      <c r="D618" s="85"/>
      <c r="E618" s="85"/>
      <c r="F618" s="85"/>
      <c r="G618" s="85"/>
      <c r="H618" s="85"/>
    </row>
    <row r="619" spans="4:8" ht="15.75">
      <c r="D619" s="85"/>
      <c r="E619" s="85"/>
      <c r="F619" s="85"/>
      <c r="G619" s="85"/>
      <c r="H619" s="85"/>
    </row>
    <row r="620" spans="4:8" ht="15.75">
      <c r="D620" s="85"/>
      <c r="E620" s="85"/>
      <c r="F620" s="85"/>
      <c r="G620" s="85"/>
      <c r="H620" s="85"/>
    </row>
    <row r="621" spans="4:8" ht="15.75">
      <c r="D621" s="85"/>
      <c r="E621" s="85"/>
      <c r="F621" s="85"/>
      <c r="G621" s="85"/>
      <c r="H621" s="85"/>
    </row>
    <row r="622" spans="4:8" ht="15.75">
      <c r="D622" s="85"/>
      <c r="E622" s="85"/>
      <c r="F622" s="85"/>
      <c r="G622" s="85"/>
      <c r="H622" s="85"/>
    </row>
    <row r="623" spans="4:8" ht="15.75">
      <c r="D623" s="85"/>
      <c r="E623" s="85"/>
      <c r="F623" s="85"/>
      <c r="G623" s="85"/>
      <c r="H623" s="85"/>
    </row>
    <row r="624" spans="4:8" ht="15.75">
      <c r="D624" s="85"/>
      <c r="E624" s="85"/>
      <c r="F624" s="85"/>
      <c r="G624" s="85"/>
      <c r="H624" s="85"/>
    </row>
    <row r="625" spans="4:8" ht="15.75">
      <c r="D625" s="85"/>
      <c r="E625" s="85"/>
      <c r="F625" s="85"/>
      <c r="G625" s="85"/>
      <c r="H625" s="85"/>
    </row>
    <row r="626" spans="4:8" ht="15.75">
      <c r="D626" s="85"/>
      <c r="E626" s="85"/>
      <c r="F626" s="85"/>
      <c r="G626" s="85"/>
      <c r="H626" s="85"/>
    </row>
    <row r="627" spans="4:8" ht="15.75">
      <c r="D627" s="85"/>
      <c r="E627" s="85"/>
      <c r="F627" s="85"/>
      <c r="G627" s="85"/>
      <c r="H627" s="85"/>
    </row>
    <row r="628" spans="4:8" ht="15.75">
      <c r="D628" s="85"/>
      <c r="E628" s="85"/>
      <c r="F628" s="85"/>
      <c r="G628" s="85"/>
      <c r="H628" s="85"/>
    </row>
    <row r="629" spans="4:8" ht="15.75">
      <c r="D629" s="85"/>
      <c r="E629" s="85"/>
      <c r="F629" s="85"/>
      <c r="G629" s="85"/>
      <c r="H629" s="85"/>
    </row>
    <row r="630" spans="4:8" ht="15.75">
      <c r="D630" s="85"/>
      <c r="E630" s="85"/>
      <c r="F630" s="85"/>
      <c r="G630" s="85"/>
      <c r="H630" s="85"/>
    </row>
    <row r="631" spans="4:8" ht="15.75">
      <c r="D631" s="85"/>
      <c r="E631" s="85"/>
      <c r="F631" s="85"/>
      <c r="G631" s="85"/>
      <c r="H631" s="85"/>
    </row>
    <row r="632" spans="4:8" ht="15.75">
      <c r="D632" s="85"/>
      <c r="E632" s="85"/>
      <c r="F632" s="85"/>
      <c r="G632" s="85"/>
      <c r="H632" s="85"/>
    </row>
    <row r="633" spans="4:8" ht="15.75">
      <c r="D633" s="85"/>
      <c r="E633" s="85"/>
      <c r="F633" s="85"/>
      <c r="G633" s="85"/>
      <c r="H633" s="85"/>
    </row>
    <row r="634" spans="4:8" ht="15.75">
      <c r="D634" s="85"/>
      <c r="E634" s="85"/>
      <c r="F634" s="85"/>
      <c r="G634" s="85"/>
      <c r="H634" s="85"/>
    </row>
    <row r="635" spans="4:8" ht="15.75">
      <c r="D635" s="85"/>
      <c r="E635" s="85"/>
      <c r="F635" s="85"/>
      <c r="G635" s="85"/>
      <c r="H635" s="85"/>
    </row>
    <row r="636" spans="4:8" ht="15.75">
      <c r="D636" s="85"/>
      <c r="E636" s="85"/>
      <c r="F636" s="85"/>
      <c r="G636" s="85"/>
      <c r="H636" s="85"/>
    </row>
    <row r="637" spans="4:8" ht="15.75">
      <c r="D637" s="85"/>
      <c r="E637" s="85"/>
      <c r="F637" s="85"/>
      <c r="G637" s="85"/>
      <c r="H637" s="85"/>
    </row>
    <row r="638" spans="4:8" ht="15.75">
      <c r="D638" s="85"/>
      <c r="E638" s="85"/>
      <c r="F638" s="85"/>
      <c r="G638" s="85"/>
      <c r="H638" s="85"/>
    </row>
    <row r="639" spans="4:8" ht="15.75">
      <c r="D639" s="85"/>
      <c r="E639" s="85"/>
      <c r="F639" s="85"/>
      <c r="G639" s="85"/>
      <c r="H639" s="85"/>
    </row>
    <row r="640" spans="4:8" ht="15.75">
      <c r="D640" s="85"/>
      <c r="E640" s="85"/>
      <c r="F640" s="85"/>
      <c r="G640" s="85"/>
      <c r="H640" s="85"/>
    </row>
    <row r="641" spans="4:8" ht="15.75">
      <c r="D641" s="85"/>
      <c r="E641" s="85"/>
      <c r="F641" s="85"/>
      <c r="G641" s="85"/>
      <c r="H641" s="85"/>
    </row>
    <row r="642" spans="4:8" ht="15.75">
      <c r="D642" s="85"/>
      <c r="E642" s="85"/>
      <c r="F642" s="85"/>
      <c r="G642" s="85"/>
      <c r="H642" s="85"/>
    </row>
    <row r="643" spans="4:8" ht="15.75">
      <c r="D643" s="85"/>
      <c r="E643" s="85"/>
      <c r="F643" s="85"/>
      <c r="G643" s="85"/>
      <c r="H643" s="85"/>
    </row>
    <row r="644" spans="4:8" ht="15.75">
      <c r="D644" s="85"/>
      <c r="E644" s="85"/>
      <c r="F644" s="85"/>
      <c r="G644" s="85"/>
      <c r="H644" s="85"/>
    </row>
    <row r="645" spans="4:8" ht="15.75">
      <c r="D645" s="85"/>
      <c r="E645" s="85"/>
      <c r="F645" s="85"/>
      <c r="G645" s="85"/>
      <c r="H645" s="85"/>
    </row>
    <row r="646" spans="4:8" ht="15.75">
      <c r="D646" s="85"/>
      <c r="E646" s="85"/>
      <c r="F646" s="85"/>
      <c r="G646" s="85"/>
      <c r="H646" s="85"/>
    </row>
    <row r="647" spans="4:8" ht="15.75">
      <c r="D647" s="85"/>
      <c r="E647" s="85"/>
      <c r="F647" s="85"/>
      <c r="G647" s="85"/>
      <c r="H647" s="85"/>
    </row>
    <row r="648" spans="4:8" ht="15.75">
      <c r="D648" s="85"/>
      <c r="E648" s="85"/>
      <c r="F648" s="85"/>
      <c r="G648" s="85"/>
      <c r="H648" s="85"/>
    </row>
    <row r="649" spans="4:8" ht="15.75">
      <c r="D649" s="85"/>
      <c r="E649" s="85"/>
      <c r="F649" s="85"/>
      <c r="G649" s="85"/>
      <c r="H649" s="85"/>
    </row>
    <row r="650" spans="4:8" ht="15.75">
      <c r="D650" s="85"/>
      <c r="E650" s="85"/>
      <c r="F650" s="85"/>
      <c r="G650" s="85"/>
      <c r="H650" s="85"/>
    </row>
    <row r="651" spans="4:8" ht="15.75">
      <c r="D651" s="85"/>
      <c r="E651" s="85"/>
      <c r="F651" s="85"/>
      <c r="G651" s="85"/>
      <c r="H651" s="85"/>
    </row>
    <row r="652" spans="4:8" ht="15.75">
      <c r="D652" s="85"/>
      <c r="E652" s="85"/>
      <c r="F652" s="85"/>
      <c r="G652" s="85"/>
      <c r="H652" s="85"/>
    </row>
    <row r="653" spans="4:8" ht="15.75">
      <c r="D653" s="85"/>
      <c r="E653" s="85"/>
      <c r="F653" s="85"/>
      <c r="G653" s="85"/>
      <c r="H653" s="85"/>
    </row>
    <row r="654" spans="4:8" ht="15.75">
      <c r="D654" s="85"/>
      <c r="E654" s="85"/>
      <c r="F654" s="85"/>
      <c r="G654" s="85"/>
      <c r="H654" s="85"/>
    </row>
    <row r="655" spans="4:8" ht="15.75">
      <c r="D655" s="85"/>
      <c r="E655" s="85"/>
      <c r="F655" s="85"/>
      <c r="G655" s="85"/>
      <c r="H655" s="85"/>
    </row>
    <row r="656" spans="4:8" ht="15.75">
      <c r="D656" s="85"/>
      <c r="E656" s="85"/>
      <c r="F656" s="85"/>
      <c r="G656" s="85"/>
      <c r="H656" s="85"/>
    </row>
    <row r="657" spans="4:8" ht="15.75">
      <c r="D657" s="85"/>
      <c r="E657" s="85"/>
      <c r="F657" s="85"/>
      <c r="G657" s="85"/>
      <c r="H657" s="85"/>
    </row>
    <row r="658" spans="4:8" ht="15.75">
      <c r="D658" s="85"/>
      <c r="E658" s="85"/>
      <c r="F658" s="85"/>
      <c r="G658" s="85"/>
      <c r="H658" s="85"/>
    </row>
    <row r="659" spans="4:8" ht="15.75">
      <c r="D659" s="85"/>
      <c r="E659" s="85"/>
      <c r="F659" s="85"/>
      <c r="G659" s="85"/>
      <c r="H659" s="85"/>
    </row>
    <row r="660" spans="4:8" ht="15.75">
      <c r="D660" s="85"/>
      <c r="E660" s="85"/>
      <c r="F660" s="85"/>
      <c r="G660" s="85"/>
      <c r="H660" s="85"/>
    </row>
    <row r="661" spans="4:8" ht="15.75">
      <c r="D661" s="85"/>
      <c r="E661" s="85"/>
      <c r="F661" s="85"/>
      <c r="G661" s="85"/>
      <c r="H661" s="85"/>
    </row>
    <row r="662" spans="4:8" ht="15.75">
      <c r="D662" s="85"/>
      <c r="E662" s="85"/>
      <c r="F662" s="85"/>
      <c r="G662" s="85"/>
      <c r="H662" s="85"/>
    </row>
    <row r="663" spans="4:8" ht="15.75">
      <c r="D663" s="85"/>
      <c r="E663" s="85"/>
      <c r="F663" s="85"/>
      <c r="G663" s="85"/>
      <c r="H663" s="85"/>
    </row>
    <row r="664" spans="4:8" ht="15.75">
      <c r="D664" s="85"/>
      <c r="E664" s="85"/>
      <c r="F664" s="85"/>
      <c r="G664" s="85"/>
      <c r="H664" s="85"/>
    </row>
    <row r="665" spans="4:8" ht="15.75">
      <c r="D665" s="85"/>
      <c r="E665" s="85"/>
      <c r="F665" s="85"/>
      <c r="G665" s="85"/>
      <c r="H665" s="85"/>
    </row>
    <row r="666" spans="4:8" ht="15.75">
      <c r="D666" s="85"/>
      <c r="E666" s="85"/>
      <c r="F666" s="85"/>
      <c r="G666" s="85"/>
      <c r="H666" s="85"/>
    </row>
    <row r="667" spans="4:8" ht="15.75">
      <c r="D667" s="85"/>
      <c r="E667" s="85"/>
      <c r="F667" s="85"/>
      <c r="G667" s="85"/>
      <c r="H667" s="85"/>
    </row>
    <row r="668" spans="4:8" ht="15.75">
      <c r="D668" s="85"/>
      <c r="E668" s="85"/>
      <c r="F668" s="85"/>
      <c r="G668" s="85"/>
      <c r="H668" s="85"/>
    </row>
    <row r="669" spans="4:8" ht="15.75">
      <c r="D669" s="85"/>
      <c r="E669" s="85"/>
      <c r="F669" s="85"/>
      <c r="G669" s="85"/>
      <c r="H669" s="85"/>
    </row>
    <row r="670" spans="4:8" ht="15.75">
      <c r="D670" s="85"/>
      <c r="E670" s="85"/>
      <c r="F670" s="85"/>
      <c r="G670" s="85"/>
      <c r="H670" s="85"/>
    </row>
    <row r="671" spans="4:8" ht="15.75">
      <c r="D671" s="85"/>
      <c r="E671" s="85"/>
      <c r="F671" s="85"/>
      <c r="G671" s="85"/>
      <c r="H671" s="85"/>
    </row>
    <row r="672" spans="4:8" ht="15.75">
      <c r="D672" s="85"/>
      <c r="E672" s="85"/>
      <c r="F672" s="85"/>
      <c r="G672" s="85"/>
      <c r="H672" s="85"/>
    </row>
    <row r="673" spans="4:8" ht="15.75">
      <c r="D673" s="85"/>
      <c r="E673" s="85"/>
      <c r="F673" s="85"/>
      <c r="G673" s="85"/>
      <c r="H673" s="85"/>
    </row>
    <row r="674" spans="4:8" ht="15.75">
      <c r="D674" s="85"/>
      <c r="E674" s="85"/>
      <c r="F674" s="85"/>
      <c r="G674" s="85"/>
      <c r="H674" s="85"/>
    </row>
    <row r="675" spans="4:8" ht="15.75">
      <c r="D675" s="85"/>
      <c r="E675" s="85"/>
      <c r="F675" s="85"/>
      <c r="G675" s="85"/>
      <c r="H675" s="85"/>
    </row>
    <row r="676" spans="4:8" ht="15.75">
      <c r="D676" s="85"/>
      <c r="E676" s="85"/>
      <c r="F676" s="85"/>
      <c r="G676" s="85"/>
      <c r="H676" s="85"/>
    </row>
    <row r="677" spans="4:8" ht="15.75">
      <c r="D677" s="85"/>
      <c r="E677" s="85"/>
      <c r="F677" s="85"/>
      <c r="G677" s="85"/>
      <c r="H677" s="85"/>
    </row>
    <row r="678" spans="4:8" ht="15.75">
      <c r="D678" s="85"/>
      <c r="E678" s="85"/>
      <c r="F678" s="85"/>
      <c r="G678" s="85"/>
      <c r="H678" s="85"/>
    </row>
    <row r="679" spans="4:8" ht="15.75">
      <c r="D679" s="85"/>
      <c r="E679" s="85"/>
      <c r="F679" s="85"/>
      <c r="G679" s="85"/>
      <c r="H679" s="85"/>
    </row>
    <row r="680" spans="4:8" ht="15.75">
      <c r="D680" s="85"/>
      <c r="E680" s="85"/>
      <c r="F680" s="85"/>
      <c r="G680" s="85"/>
      <c r="H680" s="85"/>
    </row>
    <row r="681" spans="4:8" ht="15.75">
      <c r="D681" s="85"/>
      <c r="E681" s="85"/>
      <c r="F681" s="85"/>
      <c r="G681" s="85"/>
      <c r="H681" s="85"/>
    </row>
    <row r="682" spans="4:8" ht="15.75">
      <c r="D682" s="85"/>
      <c r="E682" s="85"/>
      <c r="F682" s="85"/>
      <c r="G682" s="85"/>
      <c r="H682" s="85"/>
    </row>
    <row r="683" spans="4:8" ht="15.75">
      <c r="D683" s="85"/>
      <c r="E683" s="85"/>
      <c r="F683" s="85"/>
      <c r="G683" s="85"/>
      <c r="H683" s="85"/>
    </row>
    <row r="684" spans="4:8" ht="15.75">
      <c r="D684" s="85"/>
      <c r="E684" s="85"/>
      <c r="F684" s="85"/>
      <c r="G684" s="85"/>
      <c r="H684" s="85"/>
    </row>
    <row r="685" spans="4:8" ht="15.75">
      <c r="D685" s="85"/>
      <c r="E685" s="85"/>
      <c r="F685" s="85"/>
      <c r="G685" s="85"/>
      <c r="H685" s="85"/>
    </row>
    <row r="686" spans="4:8" ht="15.75">
      <c r="D686" s="85"/>
      <c r="E686" s="85"/>
      <c r="F686" s="85"/>
      <c r="G686" s="85"/>
      <c r="H686" s="85"/>
    </row>
    <row r="687" spans="4:8" ht="15.75">
      <c r="D687" s="85"/>
      <c r="E687" s="85"/>
      <c r="F687" s="85"/>
      <c r="G687" s="85"/>
      <c r="H687" s="85"/>
    </row>
    <row r="688" spans="4:8" ht="15.75">
      <c r="D688" s="85"/>
      <c r="E688" s="85"/>
      <c r="F688" s="85"/>
      <c r="G688" s="85"/>
      <c r="H688" s="85"/>
    </row>
    <row r="689" spans="4:8" ht="15.75">
      <c r="D689" s="85"/>
      <c r="E689" s="85"/>
      <c r="F689" s="85"/>
      <c r="G689" s="85"/>
      <c r="H689" s="85"/>
    </row>
    <row r="690" spans="4:8" ht="15.75">
      <c r="D690" s="85"/>
      <c r="E690" s="85"/>
      <c r="F690" s="85"/>
      <c r="G690" s="85"/>
      <c r="H690" s="85"/>
    </row>
    <row r="691" spans="4:8" ht="15.75">
      <c r="D691" s="85"/>
      <c r="E691" s="85"/>
      <c r="F691" s="85"/>
      <c r="G691" s="85"/>
      <c r="H691" s="85"/>
    </row>
    <row r="692" spans="4:8" ht="15.75">
      <c r="D692" s="85"/>
      <c r="E692" s="85"/>
      <c r="F692" s="85"/>
      <c r="G692" s="85"/>
      <c r="H692" s="85"/>
    </row>
    <row r="693" spans="4:8" ht="15.75">
      <c r="D693" s="85"/>
      <c r="E693" s="85"/>
      <c r="F693" s="85"/>
      <c r="G693" s="85"/>
      <c r="H693" s="85"/>
    </row>
    <row r="694" spans="4:8" ht="15.75">
      <c r="D694" s="85"/>
      <c r="E694" s="85"/>
      <c r="F694" s="85"/>
      <c r="G694" s="85"/>
      <c r="H694" s="85"/>
    </row>
    <row r="695" spans="4:8" ht="15.75">
      <c r="D695" s="85"/>
      <c r="E695" s="85"/>
      <c r="F695" s="85"/>
      <c r="G695" s="85"/>
      <c r="H695" s="85"/>
    </row>
    <row r="696" spans="4:8" ht="15.75">
      <c r="D696" s="85"/>
      <c r="E696" s="85"/>
      <c r="F696" s="85"/>
      <c r="G696" s="85"/>
      <c r="H696" s="85"/>
    </row>
    <row r="697" spans="4:8" ht="15.75">
      <c r="D697" s="85"/>
      <c r="E697" s="85"/>
      <c r="F697" s="85"/>
      <c r="G697" s="85"/>
      <c r="H697" s="85"/>
    </row>
    <row r="698" spans="4:8" ht="15.75">
      <c r="D698" s="85"/>
      <c r="E698" s="85"/>
      <c r="F698" s="85"/>
      <c r="G698" s="85"/>
      <c r="H698" s="85"/>
    </row>
    <row r="699" spans="4:8" ht="15.75">
      <c r="D699" s="85"/>
      <c r="E699" s="85"/>
      <c r="F699" s="85"/>
      <c r="G699" s="85"/>
      <c r="H699" s="85"/>
    </row>
    <row r="700" spans="4:8" ht="15.75">
      <c r="D700" s="85"/>
      <c r="E700" s="85"/>
      <c r="F700" s="85"/>
      <c r="G700" s="85"/>
      <c r="H700" s="85"/>
    </row>
    <row r="701" spans="4:8" ht="15.75">
      <c r="D701" s="85"/>
      <c r="E701" s="85"/>
      <c r="F701" s="85"/>
      <c r="G701" s="85"/>
      <c r="H701" s="85"/>
    </row>
    <row r="702" spans="4:8" ht="15.75">
      <c r="D702" s="85"/>
      <c r="E702" s="85"/>
      <c r="F702" s="85"/>
      <c r="G702" s="85"/>
      <c r="H702" s="85"/>
    </row>
    <row r="703" spans="4:8" ht="15.75">
      <c r="D703" s="85"/>
      <c r="E703" s="85"/>
      <c r="F703" s="85"/>
      <c r="G703" s="85"/>
      <c r="H703" s="85"/>
    </row>
    <row r="704" spans="4:8" ht="15.75">
      <c r="D704" s="85"/>
      <c r="E704" s="85"/>
      <c r="F704" s="85"/>
      <c r="G704" s="85"/>
      <c r="H704" s="85"/>
    </row>
    <row r="705" spans="4:8" ht="15.75">
      <c r="D705" s="85"/>
      <c r="E705" s="85"/>
      <c r="F705" s="85"/>
      <c r="G705" s="85"/>
      <c r="H705" s="85"/>
    </row>
    <row r="706" spans="4:8" ht="15.75">
      <c r="D706" s="85"/>
      <c r="E706" s="85"/>
      <c r="F706" s="85"/>
      <c r="G706" s="85"/>
      <c r="H706" s="85"/>
    </row>
    <row r="707" spans="4:8" ht="15.75">
      <c r="D707" s="85"/>
      <c r="E707" s="85"/>
      <c r="F707" s="85"/>
      <c r="G707" s="85"/>
      <c r="H707" s="85"/>
    </row>
    <row r="708" spans="4:8" ht="15.75">
      <c r="D708" s="85"/>
      <c r="E708" s="85"/>
      <c r="F708" s="85"/>
      <c r="G708" s="85"/>
      <c r="H708" s="85"/>
    </row>
    <row r="709" spans="4:8" ht="15.75">
      <c r="D709" s="85"/>
      <c r="E709" s="85"/>
      <c r="F709" s="85"/>
      <c r="G709" s="85"/>
      <c r="H709" s="85"/>
    </row>
    <row r="710" spans="4:8" ht="15.75">
      <c r="D710" s="85"/>
      <c r="E710" s="85"/>
      <c r="F710" s="85"/>
      <c r="G710" s="85"/>
      <c r="H710" s="85"/>
    </row>
    <row r="711" spans="4:8" ht="15.75">
      <c r="D711" s="85"/>
      <c r="E711" s="85"/>
      <c r="F711" s="85"/>
      <c r="G711" s="85"/>
      <c r="H711" s="85"/>
    </row>
    <row r="712" spans="4:8" ht="15.75">
      <c r="D712" s="85"/>
      <c r="E712" s="85"/>
      <c r="F712" s="85"/>
      <c r="G712" s="85"/>
      <c r="H712" s="85"/>
    </row>
    <row r="713" spans="4:8" ht="15.75">
      <c r="D713" s="85"/>
      <c r="E713" s="85"/>
      <c r="F713" s="85"/>
      <c r="G713" s="85"/>
      <c r="H713" s="85"/>
    </row>
    <row r="714" spans="4:8" ht="15.75">
      <c r="D714" s="85"/>
      <c r="E714" s="85"/>
      <c r="F714" s="85"/>
      <c r="G714" s="85"/>
      <c r="H714" s="85"/>
    </row>
    <row r="715" spans="4:8" ht="15.75">
      <c r="D715" s="85"/>
      <c r="E715" s="85"/>
      <c r="F715" s="85"/>
      <c r="G715" s="85"/>
      <c r="H715" s="85"/>
    </row>
    <row r="716" spans="4:8" ht="15.75">
      <c r="D716" s="85"/>
      <c r="E716" s="85"/>
      <c r="F716" s="85"/>
      <c r="G716" s="85"/>
      <c r="H716" s="85"/>
    </row>
    <row r="717" spans="4:8" ht="15.75">
      <c r="D717" s="85"/>
      <c r="E717" s="85"/>
      <c r="F717" s="85"/>
      <c r="G717" s="85"/>
      <c r="H717" s="85"/>
    </row>
    <row r="718" spans="4:8" ht="15.75">
      <c r="D718" s="85"/>
      <c r="E718" s="85"/>
      <c r="F718" s="85"/>
      <c r="G718" s="85"/>
      <c r="H718" s="85"/>
    </row>
    <row r="719" spans="4:8" ht="15.75">
      <c r="D719" s="85"/>
      <c r="E719" s="85"/>
      <c r="F719" s="85"/>
      <c r="G719" s="85"/>
      <c r="H719" s="85"/>
    </row>
    <row r="720" spans="4:8" ht="15.75">
      <c r="D720" s="85"/>
      <c r="E720" s="85"/>
      <c r="F720" s="85"/>
      <c r="G720" s="85"/>
      <c r="H720" s="85"/>
    </row>
    <row r="721" spans="4:8" ht="15.75">
      <c r="D721" s="85"/>
      <c r="E721" s="85"/>
      <c r="F721" s="85"/>
      <c r="G721" s="85"/>
      <c r="H721" s="85"/>
    </row>
    <row r="722" spans="4:8" ht="15.75">
      <c r="D722" s="85"/>
      <c r="E722" s="85"/>
      <c r="F722" s="85"/>
      <c r="G722" s="85"/>
      <c r="H722" s="85"/>
    </row>
    <row r="723" spans="4:8" ht="15.75">
      <c r="D723" s="85"/>
      <c r="E723" s="85"/>
      <c r="F723" s="85"/>
      <c r="G723" s="85"/>
      <c r="H723" s="85"/>
    </row>
    <row r="724" spans="4:8" ht="15.75">
      <c r="D724" s="85"/>
      <c r="E724" s="85"/>
      <c r="F724" s="85"/>
      <c r="G724" s="85"/>
      <c r="H724" s="85"/>
    </row>
    <row r="725" spans="4:8" ht="15.75">
      <c r="D725" s="85"/>
      <c r="E725" s="85"/>
      <c r="F725" s="85"/>
      <c r="G725" s="85"/>
      <c r="H725" s="85"/>
    </row>
    <row r="726" spans="4:8" ht="15.75">
      <c r="D726" s="85"/>
      <c r="E726" s="85"/>
      <c r="F726" s="85"/>
      <c r="G726" s="85"/>
      <c r="H726" s="85"/>
    </row>
    <row r="727" spans="4:8" ht="15.75">
      <c r="D727" s="85"/>
      <c r="E727" s="85"/>
      <c r="F727" s="85"/>
      <c r="G727" s="85"/>
      <c r="H727" s="85"/>
    </row>
    <row r="728" spans="4:8" ht="15.75">
      <c r="D728" s="85"/>
      <c r="E728" s="85"/>
      <c r="F728" s="85"/>
      <c r="G728" s="85"/>
      <c r="H728" s="85"/>
    </row>
    <row r="729" spans="4:8" ht="15.75">
      <c r="D729" s="85"/>
      <c r="E729" s="85"/>
      <c r="F729" s="85"/>
      <c r="G729" s="85"/>
      <c r="H729" s="85"/>
    </row>
    <row r="730" spans="4:8" ht="15.75">
      <c r="D730" s="85"/>
      <c r="E730" s="85"/>
      <c r="F730" s="85"/>
      <c r="G730" s="85"/>
      <c r="H730" s="85"/>
    </row>
    <row r="731" spans="4:8" ht="15.75">
      <c r="D731" s="85"/>
      <c r="E731" s="85"/>
      <c r="F731" s="85"/>
      <c r="G731" s="85"/>
      <c r="H731" s="85"/>
    </row>
    <row r="732" spans="4:8" ht="15.75">
      <c r="D732" s="85"/>
      <c r="E732" s="85"/>
      <c r="F732" s="85"/>
      <c r="G732" s="85"/>
      <c r="H732" s="85"/>
    </row>
    <row r="733" spans="4:8" ht="15.75">
      <c r="D733" s="85"/>
      <c r="E733" s="85"/>
      <c r="F733" s="85"/>
      <c r="G733" s="85"/>
      <c r="H733" s="85"/>
    </row>
    <row r="734" spans="4:8" ht="15.75">
      <c r="D734" s="85"/>
      <c r="E734" s="85"/>
      <c r="F734" s="85"/>
      <c r="G734" s="85"/>
      <c r="H734" s="85"/>
    </row>
    <row r="735" spans="4:8" ht="15.75">
      <c r="D735" s="85"/>
      <c r="E735" s="85"/>
      <c r="F735" s="85"/>
      <c r="G735" s="85"/>
      <c r="H735" s="85"/>
    </row>
    <row r="736" spans="4:8" ht="15.75">
      <c r="D736" s="85"/>
      <c r="E736" s="85"/>
      <c r="F736" s="85"/>
      <c r="G736" s="85"/>
      <c r="H736" s="85"/>
    </row>
    <row r="737" spans="4:8" ht="15.75">
      <c r="D737" s="85"/>
      <c r="E737" s="85"/>
      <c r="F737" s="85"/>
      <c r="G737" s="85"/>
      <c r="H737" s="85"/>
    </row>
    <row r="738" spans="4:8" ht="15.75">
      <c r="D738" s="85"/>
      <c r="E738" s="85"/>
      <c r="F738" s="85"/>
      <c r="G738" s="85"/>
      <c r="H738" s="85"/>
    </row>
    <row r="739" spans="4:8" ht="15.75">
      <c r="D739" s="85"/>
      <c r="E739" s="85"/>
      <c r="F739" s="85"/>
      <c r="G739" s="85"/>
      <c r="H739" s="85"/>
    </row>
    <row r="740" spans="4:8" ht="15.75">
      <c r="D740" s="85"/>
      <c r="E740" s="85"/>
      <c r="F740" s="85"/>
      <c r="G740" s="85"/>
      <c r="H740" s="85"/>
    </row>
    <row r="741" spans="4:8" ht="15.75">
      <c r="D741" s="85"/>
      <c r="E741" s="85"/>
      <c r="F741" s="85"/>
      <c r="G741" s="85"/>
      <c r="H741" s="85"/>
    </row>
    <row r="742" spans="4:8" ht="15.75">
      <c r="D742" s="85"/>
      <c r="E742" s="85"/>
      <c r="F742" s="85"/>
      <c r="G742" s="85"/>
      <c r="H742" s="85"/>
    </row>
    <row r="743" spans="4:8" ht="15.75">
      <c r="D743" s="85"/>
      <c r="E743" s="85"/>
      <c r="F743" s="85"/>
      <c r="G743" s="85"/>
      <c r="H743" s="85"/>
    </row>
    <row r="744" spans="4:8" ht="15.75">
      <c r="D744" s="85"/>
      <c r="E744" s="85"/>
      <c r="F744" s="85"/>
      <c r="G744" s="85"/>
      <c r="H744" s="85"/>
    </row>
    <row r="745" spans="4:8" ht="15.75">
      <c r="D745" s="85"/>
      <c r="E745" s="85"/>
      <c r="F745" s="85"/>
      <c r="G745" s="85"/>
      <c r="H745" s="85"/>
    </row>
    <row r="746" spans="4:8" ht="15.75">
      <c r="D746" s="85"/>
      <c r="E746" s="85"/>
      <c r="F746" s="85"/>
      <c r="G746" s="85"/>
      <c r="H746" s="85"/>
    </row>
    <row r="747" spans="4:8" ht="15.75">
      <c r="D747" s="85"/>
      <c r="E747" s="85"/>
      <c r="F747" s="85"/>
      <c r="G747" s="85"/>
      <c r="H747" s="85"/>
    </row>
    <row r="748" spans="4:8" ht="15.75">
      <c r="D748" s="85"/>
      <c r="E748" s="85"/>
      <c r="F748" s="85"/>
      <c r="G748" s="85"/>
      <c r="H748" s="85"/>
    </row>
    <row r="749" spans="4:8" ht="15.75">
      <c r="D749" s="85"/>
      <c r="E749" s="85"/>
      <c r="F749" s="85"/>
      <c r="G749" s="85"/>
      <c r="H749" s="85"/>
    </row>
    <row r="750" spans="4:8" ht="15.75">
      <c r="D750" s="85"/>
      <c r="E750" s="85"/>
      <c r="F750" s="85"/>
      <c r="G750" s="85"/>
      <c r="H750" s="85"/>
    </row>
    <row r="751" spans="4:8" ht="15.75">
      <c r="D751" s="85"/>
      <c r="E751" s="85"/>
      <c r="F751" s="85"/>
      <c r="G751" s="85"/>
      <c r="H751" s="85"/>
    </row>
    <row r="752" spans="4:8" ht="15.75">
      <c r="D752" s="85"/>
      <c r="E752" s="85"/>
      <c r="F752" s="85"/>
      <c r="G752" s="85"/>
      <c r="H752" s="85"/>
    </row>
    <row r="753" spans="4:8" ht="15.75">
      <c r="D753" s="85"/>
      <c r="E753" s="85"/>
      <c r="F753" s="85"/>
      <c r="G753" s="85"/>
      <c r="H753" s="85"/>
    </row>
    <row r="754" spans="4:8" ht="15.75">
      <c r="D754" s="85"/>
      <c r="E754" s="85"/>
      <c r="F754" s="85"/>
      <c r="G754" s="85"/>
      <c r="H754" s="85"/>
    </row>
    <row r="755" spans="4:8" ht="15.75">
      <c r="D755" s="85"/>
      <c r="E755" s="85"/>
      <c r="F755" s="85"/>
      <c r="G755" s="85"/>
      <c r="H755" s="85"/>
    </row>
    <row r="756" spans="4:8" ht="15.75">
      <c r="D756" s="85"/>
      <c r="E756" s="85"/>
      <c r="F756" s="85"/>
      <c r="G756" s="85"/>
      <c r="H756" s="85"/>
    </row>
    <row r="757" spans="4:8" ht="15.75">
      <c r="D757" s="85"/>
      <c r="E757" s="85"/>
      <c r="F757" s="85"/>
      <c r="G757" s="85"/>
      <c r="H757" s="85"/>
    </row>
    <row r="758" spans="4:8" ht="15.75">
      <c r="D758" s="85"/>
      <c r="E758" s="85"/>
      <c r="F758" s="85"/>
      <c r="G758" s="85"/>
      <c r="H758" s="85"/>
    </row>
    <row r="759" spans="4:8" ht="15.75">
      <c r="D759" s="85"/>
      <c r="E759" s="85"/>
      <c r="F759" s="85"/>
      <c r="G759" s="85"/>
      <c r="H759" s="85"/>
    </row>
    <row r="760" spans="4:8" ht="15.75">
      <c r="D760" s="85"/>
      <c r="E760" s="85"/>
      <c r="F760" s="85"/>
      <c r="G760" s="85"/>
      <c r="H760" s="85"/>
    </row>
    <row r="761" spans="4:8" ht="15.75">
      <c r="D761" s="85"/>
      <c r="E761" s="85"/>
      <c r="F761" s="85"/>
      <c r="G761" s="85"/>
      <c r="H761" s="85"/>
    </row>
    <row r="762" spans="4:8" ht="15.75">
      <c r="D762" s="85"/>
      <c r="E762" s="85"/>
      <c r="F762" s="85"/>
      <c r="G762" s="85"/>
      <c r="H762" s="85"/>
    </row>
    <row r="763" spans="4:8" ht="15.75">
      <c r="D763" s="85"/>
      <c r="E763" s="85"/>
      <c r="F763" s="85"/>
      <c r="G763" s="85"/>
      <c r="H763" s="85"/>
    </row>
    <row r="764" spans="4:8" ht="15.75">
      <c r="D764" s="85"/>
      <c r="E764" s="85"/>
      <c r="F764" s="85"/>
      <c r="G764" s="85"/>
      <c r="H764" s="85"/>
    </row>
    <row r="765" spans="4:8" ht="15.75">
      <c r="D765" s="85"/>
      <c r="E765" s="85"/>
      <c r="F765" s="85"/>
      <c r="G765" s="85"/>
      <c r="H765" s="85"/>
    </row>
    <row r="766" spans="4:8" ht="15.75">
      <c r="D766" s="85"/>
      <c r="E766" s="85"/>
      <c r="F766" s="85"/>
      <c r="G766" s="85"/>
      <c r="H766" s="85"/>
    </row>
    <row r="767" spans="4:8" ht="15.75">
      <c r="D767" s="85"/>
      <c r="E767" s="85"/>
      <c r="F767" s="85"/>
      <c r="G767" s="85"/>
      <c r="H767" s="85"/>
    </row>
    <row r="768" spans="4:8" ht="15.75">
      <c r="D768" s="85"/>
      <c r="E768" s="85"/>
      <c r="F768" s="85"/>
      <c r="G768" s="85"/>
      <c r="H768" s="85"/>
    </row>
    <row r="769" spans="4:8" ht="15.75">
      <c r="D769" s="85"/>
      <c r="E769" s="85"/>
      <c r="F769" s="85"/>
      <c r="G769" s="85"/>
      <c r="H769" s="85"/>
    </row>
    <row r="770" spans="4:8" ht="15.75">
      <c r="D770" s="85"/>
      <c r="E770" s="85"/>
      <c r="F770" s="85"/>
      <c r="G770" s="85"/>
      <c r="H770" s="85"/>
    </row>
    <row r="771" spans="4:8" ht="15.75">
      <c r="D771" s="85"/>
      <c r="E771" s="85"/>
      <c r="F771" s="85"/>
      <c r="G771" s="85"/>
      <c r="H771" s="85"/>
    </row>
    <row r="772" spans="4:8" ht="15.75">
      <c r="D772" s="85"/>
      <c r="E772" s="85"/>
      <c r="F772" s="85"/>
      <c r="G772" s="85"/>
      <c r="H772" s="85"/>
    </row>
    <row r="773" spans="4:8" ht="15.75">
      <c r="D773" s="85"/>
      <c r="E773" s="85"/>
      <c r="F773" s="85"/>
      <c r="G773" s="85"/>
      <c r="H773" s="85"/>
    </row>
    <row r="774" spans="4:8" ht="15.75">
      <c r="D774" s="85"/>
      <c r="E774" s="85"/>
      <c r="F774" s="85"/>
      <c r="G774" s="85"/>
      <c r="H774" s="85"/>
    </row>
    <row r="775" spans="4:8" ht="15.75">
      <c r="D775" s="85"/>
      <c r="E775" s="85"/>
      <c r="F775" s="85"/>
      <c r="G775" s="85"/>
      <c r="H775" s="85"/>
    </row>
    <row r="776" spans="4:8" ht="15.75">
      <c r="D776" s="85"/>
      <c r="E776" s="85"/>
      <c r="F776" s="85"/>
      <c r="G776" s="85"/>
      <c r="H776" s="85"/>
    </row>
    <row r="777" spans="4:8" ht="15.75">
      <c r="D777" s="85"/>
      <c r="E777" s="85"/>
      <c r="F777" s="85"/>
      <c r="G777" s="85"/>
      <c r="H777" s="85"/>
    </row>
    <row r="778" spans="4:8" ht="15.75">
      <c r="D778" s="85"/>
      <c r="E778" s="85"/>
      <c r="F778" s="85"/>
      <c r="G778" s="85"/>
      <c r="H778" s="85"/>
    </row>
    <row r="779" spans="4:8" ht="15.75">
      <c r="D779" s="85"/>
      <c r="E779" s="85"/>
      <c r="F779" s="85"/>
      <c r="G779" s="85"/>
      <c r="H779" s="85"/>
    </row>
    <row r="780" spans="4:8" ht="15.75">
      <c r="D780" s="85"/>
      <c r="E780" s="85"/>
      <c r="F780" s="85"/>
      <c r="G780" s="85"/>
      <c r="H780" s="85"/>
    </row>
    <row r="781" spans="4:8" ht="15.75">
      <c r="D781" s="85"/>
      <c r="E781" s="85"/>
      <c r="F781" s="85"/>
      <c r="G781" s="85"/>
      <c r="H781" s="85"/>
    </row>
    <row r="782" spans="4:8" ht="15.75">
      <c r="D782" s="85"/>
      <c r="E782" s="85"/>
      <c r="F782" s="85"/>
      <c r="G782" s="85"/>
      <c r="H782" s="85"/>
    </row>
    <row r="783" spans="4:8" ht="15.75">
      <c r="D783" s="85"/>
      <c r="E783" s="85"/>
      <c r="F783" s="85"/>
      <c r="G783" s="85"/>
      <c r="H783" s="85"/>
    </row>
    <row r="784" spans="4:8" ht="15.75">
      <c r="D784" s="85"/>
      <c r="E784" s="85"/>
      <c r="F784" s="85"/>
      <c r="G784" s="85"/>
      <c r="H784" s="85"/>
    </row>
    <row r="785" spans="4:8" ht="15.75">
      <c r="D785" s="85"/>
      <c r="E785" s="85"/>
      <c r="F785" s="85"/>
      <c r="G785" s="85"/>
      <c r="H785" s="85"/>
    </row>
    <row r="786" spans="4:8" ht="15.75">
      <c r="D786" s="85"/>
      <c r="E786" s="85"/>
      <c r="F786" s="85"/>
      <c r="G786" s="85"/>
      <c r="H786" s="85"/>
    </row>
    <row r="787" spans="4:8" ht="15.75">
      <c r="D787" s="85"/>
      <c r="E787" s="85"/>
      <c r="F787" s="85"/>
      <c r="G787" s="85"/>
      <c r="H787" s="85"/>
    </row>
    <row r="788" spans="4:8" ht="15.75">
      <c r="D788" s="85"/>
      <c r="E788" s="85"/>
      <c r="F788" s="85"/>
      <c r="G788" s="85"/>
      <c r="H788" s="85"/>
    </row>
    <row r="789" spans="4:8" ht="15.75">
      <c r="D789" s="85"/>
      <c r="E789" s="85"/>
      <c r="F789" s="85"/>
      <c r="G789" s="85"/>
      <c r="H789" s="85"/>
    </row>
    <row r="790" spans="4:8" ht="15.75">
      <c r="D790" s="85"/>
      <c r="E790" s="85"/>
      <c r="F790" s="85"/>
      <c r="G790" s="85"/>
      <c r="H790" s="85"/>
    </row>
    <row r="791" spans="4:8" ht="15.75">
      <c r="D791" s="85"/>
      <c r="E791" s="85"/>
      <c r="F791" s="85"/>
      <c r="G791" s="85"/>
      <c r="H791" s="85"/>
    </row>
    <row r="792" spans="4:8" ht="15.75">
      <c r="D792" s="85"/>
      <c r="E792" s="85"/>
      <c r="F792" s="85"/>
      <c r="G792" s="85"/>
      <c r="H792" s="85"/>
    </row>
    <row r="793" spans="4:8" ht="15.75">
      <c r="D793" s="85"/>
      <c r="E793" s="85"/>
      <c r="F793" s="85"/>
      <c r="G793" s="85"/>
      <c r="H793" s="85"/>
    </row>
    <row r="794" spans="4:8" ht="15.75">
      <c r="D794" s="85"/>
      <c r="E794" s="85"/>
      <c r="F794" s="85"/>
      <c r="G794" s="85"/>
      <c r="H794" s="85"/>
    </row>
    <row r="795" spans="4:8" ht="15.75">
      <c r="D795" s="85"/>
      <c r="E795" s="85"/>
      <c r="F795" s="85"/>
      <c r="G795" s="85"/>
      <c r="H795" s="85"/>
    </row>
    <row r="796" spans="4:8" ht="15.75">
      <c r="D796" s="85"/>
      <c r="E796" s="85"/>
      <c r="F796" s="85"/>
      <c r="G796" s="85"/>
      <c r="H796" s="85"/>
    </row>
    <row r="797" spans="4:8" ht="15.75">
      <c r="D797" s="85"/>
      <c r="E797" s="85"/>
      <c r="F797" s="85"/>
      <c r="G797" s="85"/>
      <c r="H797" s="85"/>
    </row>
    <row r="798" spans="4:8" ht="15.75">
      <c r="D798" s="85"/>
      <c r="E798" s="85"/>
      <c r="F798" s="85"/>
      <c r="G798" s="85"/>
      <c r="H798" s="85"/>
    </row>
    <row r="799" spans="4:8" ht="15.75">
      <c r="D799" s="85"/>
      <c r="E799" s="85"/>
      <c r="F799" s="85"/>
      <c r="G799" s="85"/>
      <c r="H799" s="85"/>
    </row>
    <row r="800" spans="4:8" ht="15.75">
      <c r="D800" s="85"/>
      <c r="E800" s="85"/>
      <c r="F800" s="85"/>
      <c r="G800" s="85"/>
      <c r="H800" s="85"/>
    </row>
    <row r="801" spans="4:8" ht="15.75">
      <c r="D801" s="85"/>
      <c r="E801" s="85"/>
      <c r="F801" s="85"/>
      <c r="G801" s="85"/>
      <c r="H801" s="85"/>
    </row>
    <row r="802" spans="4:8" ht="15.75">
      <c r="D802" s="85"/>
      <c r="E802" s="85"/>
      <c r="F802" s="85"/>
      <c r="G802" s="85"/>
      <c r="H802" s="85"/>
    </row>
    <row r="803" spans="4:8" ht="15.75">
      <c r="D803" s="85"/>
      <c r="E803" s="85"/>
      <c r="F803" s="85"/>
      <c r="G803" s="85"/>
      <c r="H803" s="85"/>
    </row>
    <row r="804" spans="4:8" ht="15.75">
      <c r="D804" s="85"/>
      <c r="E804" s="85"/>
      <c r="F804" s="85"/>
      <c r="G804" s="85"/>
      <c r="H804" s="85"/>
    </row>
    <row r="805" spans="4:8" ht="15.75">
      <c r="D805" s="85"/>
      <c r="E805" s="85"/>
      <c r="F805" s="85"/>
      <c r="G805" s="85"/>
      <c r="H805" s="85"/>
    </row>
    <row r="806" spans="4:8" ht="15.75">
      <c r="D806" s="85"/>
      <c r="E806" s="85"/>
      <c r="F806" s="85"/>
      <c r="G806" s="85"/>
      <c r="H806" s="85"/>
    </row>
    <row r="807" spans="4:8" ht="15.75">
      <c r="D807" s="85"/>
      <c r="E807" s="85"/>
      <c r="F807" s="85"/>
      <c r="G807" s="85"/>
      <c r="H807" s="85"/>
    </row>
    <row r="808" spans="4:8" ht="15.75">
      <c r="D808" s="85"/>
      <c r="E808" s="85"/>
      <c r="F808" s="85"/>
      <c r="G808" s="85"/>
      <c r="H808" s="85"/>
    </row>
    <row r="809" spans="4:8" ht="15.75">
      <c r="D809" s="85"/>
      <c r="E809" s="85"/>
      <c r="F809" s="85"/>
      <c r="G809" s="85"/>
      <c r="H809" s="85"/>
    </row>
    <row r="810" spans="4:8" ht="15.75">
      <c r="D810" s="85"/>
      <c r="E810" s="85"/>
      <c r="F810" s="85"/>
      <c r="G810" s="85"/>
      <c r="H810" s="85"/>
    </row>
    <row r="811" spans="4:8" ht="15.75">
      <c r="D811" s="85"/>
      <c r="E811" s="85"/>
      <c r="F811" s="85"/>
      <c r="G811" s="85"/>
      <c r="H811" s="85"/>
    </row>
    <row r="812" spans="4:8" ht="15.75">
      <c r="D812" s="85"/>
      <c r="E812" s="85"/>
      <c r="F812" s="85"/>
      <c r="G812" s="85"/>
      <c r="H812" s="85"/>
    </row>
    <row r="813" spans="4:8" ht="15.75">
      <c r="D813" s="85"/>
      <c r="E813" s="85"/>
      <c r="F813" s="85"/>
      <c r="G813" s="85"/>
      <c r="H813" s="85"/>
    </row>
    <row r="814" spans="4:8" ht="15.75">
      <c r="D814" s="85"/>
      <c r="E814" s="85"/>
      <c r="F814" s="85"/>
      <c r="G814" s="85"/>
      <c r="H814" s="85"/>
    </row>
    <row r="815" spans="4:8" ht="15.75">
      <c r="D815" s="85"/>
      <c r="E815" s="85"/>
      <c r="F815" s="85"/>
      <c r="G815" s="85"/>
      <c r="H815" s="85"/>
    </row>
    <row r="816" spans="4:8" ht="15.75">
      <c r="D816" s="85"/>
      <c r="E816" s="85"/>
      <c r="F816" s="85"/>
      <c r="G816" s="85"/>
      <c r="H816" s="85"/>
    </row>
    <row r="817" spans="4:8" ht="15.75">
      <c r="D817" s="85"/>
      <c r="E817" s="85"/>
      <c r="F817" s="85"/>
      <c r="G817" s="85"/>
      <c r="H817" s="85"/>
    </row>
    <row r="818" spans="4:8" ht="15.75">
      <c r="D818" s="85"/>
      <c r="E818" s="85"/>
      <c r="F818" s="85"/>
      <c r="G818" s="85"/>
      <c r="H818" s="85"/>
    </row>
    <row r="819" spans="4:8" ht="15.75">
      <c r="D819" s="85"/>
      <c r="E819" s="85"/>
      <c r="F819" s="85"/>
      <c r="G819" s="85"/>
      <c r="H819" s="85"/>
    </row>
    <row r="820" spans="4:8" ht="15.75">
      <c r="D820" s="85"/>
      <c r="E820" s="85"/>
      <c r="F820" s="85"/>
      <c r="G820" s="85"/>
      <c r="H820" s="85"/>
    </row>
    <row r="821" spans="4:8" ht="15.75">
      <c r="D821" s="85"/>
      <c r="E821" s="85"/>
      <c r="F821" s="85"/>
      <c r="G821" s="85"/>
      <c r="H821" s="85"/>
    </row>
    <row r="822" spans="4:8" ht="15.75">
      <c r="D822" s="85"/>
      <c r="E822" s="85"/>
      <c r="F822" s="85"/>
      <c r="G822" s="85"/>
      <c r="H822" s="85"/>
    </row>
    <row r="823" spans="4:8" ht="15.75">
      <c r="D823" s="85"/>
      <c r="E823" s="85"/>
      <c r="F823" s="85"/>
      <c r="G823" s="85"/>
      <c r="H823" s="85"/>
    </row>
    <row r="824" spans="4:8" ht="15.75">
      <c r="D824" s="85"/>
      <c r="E824" s="85"/>
      <c r="F824" s="85"/>
      <c r="G824" s="85"/>
      <c r="H824" s="85"/>
    </row>
    <row r="825" spans="4:8" ht="15.75">
      <c r="D825" s="85"/>
      <c r="E825" s="85"/>
      <c r="F825" s="85"/>
      <c r="G825" s="85"/>
      <c r="H825" s="85"/>
    </row>
    <row r="826" spans="4:8" ht="15.75">
      <c r="D826" s="85"/>
      <c r="E826" s="85"/>
      <c r="F826" s="85"/>
      <c r="G826" s="85"/>
      <c r="H826" s="85"/>
    </row>
    <row r="827" spans="4:8" ht="15.75">
      <c r="D827" s="85"/>
      <c r="E827" s="85"/>
      <c r="F827" s="85"/>
      <c r="G827" s="85"/>
      <c r="H827" s="85"/>
    </row>
    <row r="828" spans="4:8" ht="15.75">
      <c r="D828" s="85"/>
      <c r="E828" s="85"/>
      <c r="F828" s="85"/>
      <c r="G828" s="85"/>
      <c r="H828" s="85"/>
    </row>
    <row r="829" spans="4:8" ht="15.75">
      <c r="D829" s="85"/>
      <c r="E829" s="85"/>
      <c r="F829" s="85"/>
      <c r="G829" s="85"/>
      <c r="H829" s="85"/>
    </row>
    <row r="830" spans="4:8" ht="15.75">
      <c r="D830" s="85"/>
      <c r="E830" s="85"/>
      <c r="F830" s="85"/>
      <c r="G830" s="85"/>
      <c r="H830" s="85"/>
    </row>
    <row r="831" spans="4:8" ht="15.75">
      <c r="D831" s="85"/>
      <c r="E831" s="85"/>
      <c r="F831" s="85"/>
      <c r="G831" s="85"/>
      <c r="H831" s="85"/>
    </row>
    <row r="832" spans="4:8" ht="15.75">
      <c r="D832" s="85"/>
      <c r="E832" s="85"/>
      <c r="F832" s="85"/>
      <c r="G832" s="85"/>
      <c r="H832" s="85"/>
    </row>
    <row r="833" spans="4:8" ht="15.75">
      <c r="D833" s="85"/>
      <c r="E833" s="85"/>
      <c r="F833" s="85"/>
      <c r="G833" s="85"/>
      <c r="H833" s="85"/>
    </row>
    <row r="834" spans="4:8" ht="15.75">
      <c r="D834" s="85"/>
      <c r="E834" s="85"/>
      <c r="F834" s="85"/>
      <c r="G834" s="85"/>
      <c r="H834" s="85"/>
    </row>
    <row r="835" spans="4:8" ht="15.75">
      <c r="D835" s="85"/>
      <c r="E835" s="85"/>
      <c r="F835" s="85"/>
      <c r="G835" s="85"/>
      <c r="H835" s="85"/>
    </row>
    <row r="836" spans="4:8" ht="15.75">
      <c r="D836" s="85"/>
      <c r="E836" s="85"/>
      <c r="F836" s="85"/>
      <c r="G836" s="85"/>
      <c r="H836" s="85"/>
    </row>
    <row r="837" spans="4:8" ht="15.75">
      <c r="D837" s="85"/>
      <c r="E837" s="85"/>
      <c r="F837" s="85"/>
      <c r="G837" s="85"/>
      <c r="H837" s="85"/>
    </row>
    <row r="838" spans="4:8" ht="15.75">
      <c r="D838" s="85"/>
      <c r="E838" s="85"/>
      <c r="F838" s="85"/>
      <c r="G838" s="85"/>
      <c r="H838" s="85"/>
    </row>
    <row r="839" spans="4:8" ht="15.75">
      <c r="D839" s="85"/>
      <c r="E839" s="85"/>
      <c r="F839" s="85"/>
      <c r="G839" s="85"/>
      <c r="H839" s="85"/>
    </row>
    <row r="840" spans="4:8" ht="15.75">
      <c r="D840" s="85"/>
      <c r="E840" s="85"/>
      <c r="F840" s="85"/>
      <c r="G840" s="85"/>
      <c r="H840" s="85"/>
    </row>
    <row r="841" spans="4:8" ht="15.75">
      <c r="D841" s="85"/>
      <c r="E841" s="85"/>
      <c r="F841" s="85"/>
      <c r="G841" s="85"/>
      <c r="H841" s="85"/>
    </row>
    <row r="842" spans="4:8" ht="15.75">
      <c r="D842" s="85"/>
      <c r="E842" s="85"/>
      <c r="F842" s="85"/>
      <c r="G842" s="85"/>
      <c r="H842" s="85"/>
    </row>
    <row r="843" spans="4:8" ht="15.75">
      <c r="D843" s="85"/>
      <c r="E843" s="85"/>
      <c r="F843" s="85"/>
      <c r="G843" s="85"/>
      <c r="H843" s="85"/>
    </row>
    <row r="844" spans="4:8" ht="15.75">
      <c r="D844" s="85"/>
      <c r="E844" s="85"/>
      <c r="F844" s="85"/>
      <c r="G844" s="85"/>
      <c r="H844" s="85"/>
    </row>
    <row r="845" spans="4:8" ht="15.75">
      <c r="D845" s="85"/>
      <c r="E845" s="85"/>
      <c r="F845" s="85"/>
      <c r="G845" s="85"/>
      <c r="H845" s="85"/>
    </row>
    <row r="846" spans="4:8" ht="15.75">
      <c r="D846" s="85"/>
      <c r="E846" s="85"/>
      <c r="F846" s="85"/>
      <c r="G846" s="85"/>
      <c r="H846" s="85"/>
    </row>
    <row r="847" spans="4:8" ht="15.75">
      <c r="D847" s="85"/>
      <c r="E847" s="85"/>
      <c r="F847" s="85"/>
      <c r="G847" s="85"/>
      <c r="H847" s="85"/>
    </row>
    <row r="848" spans="4:8" ht="15.75">
      <c r="D848" s="85"/>
      <c r="E848" s="85"/>
      <c r="F848" s="85"/>
      <c r="G848" s="85"/>
      <c r="H848" s="85"/>
    </row>
    <row r="849" spans="4:8" ht="15.75">
      <c r="D849" s="85"/>
      <c r="E849" s="85"/>
      <c r="F849" s="85"/>
      <c r="G849" s="85"/>
      <c r="H849" s="85"/>
    </row>
    <row r="850" spans="4:8" ht="15.75">
      <c r="D850" s="85"/>
      <c r="E850" s="85"/>
      <c r="F850" s="85"/>
      <c r="G850" s="85"/>
      <c r="H850" s="85"/>
    </row>
    <row r="851" spans="4:8" ht="15.75">
      <c r="D851" s="85"/>
      <c r="E851" s="85"/>
      <c r="F851" s="85"/>
      <c r="G851" s="85"/>
      <c r="H851" s="85"/>
    </row>
    <row r="852" spans="4:8" ht="15.75">
      <c r="D852" s="85"/>
      <c r="E852" s="85"/>
      <c r="F852" s="85"/>
      <c r="G852" s="85"/>
      <c r="H852" s="85"/>
    </row>
    <row r="853" spans="4:8" ht="15.75">
      <c r="D853" s="85"/>
      <c r="E853" s="85"/>
      <c r="F853" s="85"/>
      <c r="G853" s="85"/>
      <c r="H853" s="85"/>
    </row>
    <row r="854" spans="4:8" ht="15.75">
      <c r="D854" s="85"/>
      <c r="E854" s="85"/>
      <c r="F854" s="85"/>
      <c r="G854" s="85"/>
      <c r="H854" s="85"/>
    </row>
    <row r="855" spans="4:8" ht="15.75">
      <c r="D855" s="85"/>
      <c r="E855" s="85"/>
      <c r="F855" s="85"/>
      <c r="G855" s="85"/>
      <c r="H855" s="85"/>
    </row>
    <row r="856" spans="4:8" ht="15.75">
      <c r="D856" s="85"/>
      <c r="E856" s="85"/>
      <c r="F856" s="85"/>
      <c r="G856" s="85"/>
      <c r="H856" s="85"/>
    </row>
    <row r="857" spans="4:8" ht="15.75">
      <c r="D857" s="85"/>
      <c r="E857" s="85"/>
      <c r="F857" s="85"/>
      <c r="G857" s="85"/>
      <c r="H857" s="85"/>
    </row>
    <row r="858" spans="4:8" ht="15.75">
      <c r="D858" s="85"/>
      <c r="E858" s="85"/>
      <c r="F858" s="85"/>
      <c r="G858" s="85"/>
      <c r="H858" s="85"/>
    </row>
    <row r="859" spans="4:8" ht="15.75">
      <c r="D859" s="85"/>
      <c r="E859" s="85"/>
      <c r="F859" s="85"/>
      <c r="G859" s="85"/>
      <c r="H859" s="85"/>
    </row>
    <row r="860" spans="4:8" ht="15.75">
      <c r="D860" s="85"/>
      <c r="E860" s="85"/>
      <c r="F860" s="85"/>
      <c r="G860" s="85"/>
      <c r="H860" s="85"/>
    </row>
    <row r="861" spans="4:8" ht="15.75">
      <c r="D861" s="85"/>
      <c r="E861" s="85"/>
      <c r="F861" s="85"/>
      <c r="G861" s="85"/>
      <c r="H861" s="85"/>
    </row>
    <row r="862" spans="4:8" ht="15.75">
      <c r="D862" s="85"/>
      <c r="E862" s="85"/>
      <c r="F862" s="85"/>
      <c r="G862" s="85"/>
      <c r="H862" s="85"/>
    </row>
    <row r="863" spans="4:8" ht="15.75">
      <c r="D863" s="85"/>
      <c r="E863" s="85"/>
      <c r="F863" s="85"/>
      <c r="G863" s="85"/>
      <c r="H863" s="85"/>
    </row>
    <row r="864" spans="4:8" ht="15.75">
      <c r="D864" s="85"/>
      <c r="E864" s="85"/>
      <c r="F864" s="85"/>
      <c r="G864" s="85"/>
      <c r="H864" s="85"/>
    </row>
    <row r="865" spans="4:8" ht="15.75">
      <c r="D865" s="85"/>
      <c r="E865" s="85"/>
      <c r="F865" s="85"/>
      <c r="G865" s="85"/>
      <c r="H865" s="85"/>
    </row>
    <row r="866" spans="4:8" ht="15.75">
      <c r="D866" s="85"/>
      <c r="E866" s="85"/>
      <c r="F866" s="85"/>
      <c r="G866" s="85"/>
      <c r="H866" s="85"/>
    </row>
    <row r="867" spans="4:8" ht="15.75">
      <c r="D867" s="85"/>
      <c r="E867" s="85"/>
      <c r="F867" s="85"/>
      <c r="G867" s="85"/>
      <c r="H867" s="85"/>
    </row>
    <row r="868" spans="4:8" ht="15.75">
      <c r="D868" s="85"/>
      <c r="E868" s="85"/>
      <c r="F868" s="85"/>
      <c r="G868" s="85"/>
      <c r="H868" s="85"/>
    </row>
    <row r="869" spans="4:8" ht="15.75">
      <c r="D869" s="85"/>
      <c r="E869" s="85"/>
      <c r="F869" s="85"/>
      <c r="G869" s="85"/>
      <c r="H869" s="85"/>
    </row>
    <row r="870" spans="4:8" ht="15.75">
      <c r="D870" s="85"/>
      <c r="E870" s="85"/>
      <c r="F870" s="85"/>
      <c r="G870" s="85"/>
      <c r="H870" s="85"/>
    </row>
    <row r="871" spans="4:8" ht="15.75">
      <c r="D871" s="85"/>
      <c r="E871" s="85"/>
      <c r="F871" s="85"/>
      <c r="G871" s="85"/>
      <c r="H871" s="85"/>
    </row>
    <row r="872" spans="4:8" ht="15.75">
      <c r="D872" s="85"/>
      <c r="E872" s="85"/>
      <c r="F872" s="85"/>
      <c r="G872" s="85"/>
      <c r="H872" s="85"/>
    </row>
    <row r="873" spans="4:8" ht="15.75">
      <c r="D873" s="85"/>
      <c r="E873" s="85"/>
      <c r="F873" s="85"/>
      <c r="G873" s="85"/>
      <c r="H873" s="85"/>
    </row>
    <row r="874" spans="4:8" ht="15.75">
      <c r="D874" s="85"/>
      <c r="E874" s="85"/>
      <c r="F874" s="85"/>
      <c r="G874" s="85"/>
      <c r="H874" s="85"/>
    </row>
    <row r="875" spans="4:8" ht="15.75">
      <c r="D875" s="85"/>
      <c r="E875" s="85"/>
      <c r="F875" s="85"/>
      <c r="G875" s="85"/>
      <c r="H875" s="85"/>
    </row>
    <row r="876" spans="4:8" ht="15.75">
      <c r="D876" s="85"/>
      <c r="E876" s="85"/>
      <c r="F876" s="85"/>
      <c r="G876" s="85"/>
      <c r="H876" s="85"/>
    </row>
    <row r="877" spans="4:8" ht="15.75">
      <c r="D877" s="85"/>
      <c r="E877" s="85"/>
      <c r="F877" s="85"/>
      <c r="G877" s="85"/>
      <c r="H877" s="85"/>
    </row>
    <row r="878" spans="4:8" ht="15.75">
      <c r="D878" s="85"/>
      <c r="E878" s="85"/>
      <c r="F878" s="85"/>
      <c r="G878" s="85"/>
      <c r="H878" s="85"/>
    </row>
    <row r="879" spans="4:8" ht="15.75">
      <c r="D879" s="85"/>
      <c r="E879" s="85"/>
      <c r="F879" s="85"/>
      <c r="G879" s="85"/>
      <c r="H879" s="85"/>
    </row>
    <row r="880" spans="4:8" ht="15.75">
      <c r="D880" s="85"/>
      <c r="E880" s="85"/>
      <c r="F880" s="85"/>
      <c r="G880" s="85"/>
      <c r="H880" s="85"/>
    </row>
    <row r="881" spans="4:8" ht="15.75">
      <c r="D881" s="85"/>
      <c r="E881" s="85"/>
      <c r="F881" s="85"/>
      <c r="G881" s="85"/>
      <c r="H881" s="85"/>
    </row>
    <row r="882" spans="4:8" ht="15.75">
      <c r="D882" s="85"/>
      <c r="E882" s="85"/>
      <c r="F882" s="85"/>
      <c r="G882" s="85"/>
      <c r="H882" s="85"/>
    </row>
    <row r="883" spans="4:8" ht="15.75">
      <c r="D883" s="85"/>
      <c r="E883" s="85"/>
      <c r="F883" s="85"/>
      <c r="G883" s="85"/>
      <c r="H883" s="85"/>
    </row>
    <row r="884" spans="4:8" ht="15.75">
      <c r="D884" s="85"/>
      <c r="E884" s="85"/>
      <c r="F884" s="85"/>
      <c r="G884" s="85"/>
      <c r="H884" s="85"/>
    </row>
    <row r="885" spans="4:8" ht="15.75">
      <c r="D885" s="85"/>
      <c r="E885" s="85"/>
      <c r="F885" s="85"/>
      <c r="G885" s="85"/>
      <c r="H885" s="85"/>
    </row>
    <row r="886" spans="4:8" ht="15.75">
      <c r="D886" s="85"/>
      <c r="E886" s="85"/>
      <c r="F886" s="85"/>
      <c r="G886" s="85"/>
      <c r="H886" s="85"/>
    </row>
    <row r="887" spans="4:8" ht="15.75">
      <c r="D887" s="85"/>
      <c r="E887" s="85"/>
      <c r="F887" s="85"/>
      <c r="G887" s="85"/>
      <c r="H887" s="85"/>
    </row>
    <row r="888" spans="4:8" ht="15.75">
      <c r="D888" s="85"/>
      <c r="E888" s="85"/>
      <c r="F888" s="85"/>
      <c r="G888" s="85"/>
      <c r="H888" s="85"/>
    </row>
    <row r="889" spans="4:8" ht="15.75">
      <c r="D889" s="85"/>
      <c r="E889" s="85"/>
      <c r="F889" s="85"/>
      <c r="G889" s="85"/>
      <c r="H889" s="85"/>
    </row>
    <row r="890" spans="4:8" ht="15.75">
      <c r="D890" s="85"/>
      <c r="E890" s="85"/>
      <c r="F890" s="85"/>
      <c r="G890" s="85"/>
      <c r="H890" s="85"/>
    </row>
    <row r="891" spans="4:8" ht="15.75">
      <c r="D891" s="85"/>
      <c r="E891" s="85"/>
      <c r="F891" s="85"/>
      <c r="G891" s="85"/>
      <c r="H891" s="85"/>
    </row>
    <row r="892" spans="4:8" ht="15.75">
      <c r="D892" s="85"/>
      <c r="E892" s="85"/>
      <c r="F892" s="85"/>
      <c r="G892" s="85"/>
      <c r="H892" s="85"/>
    </row>
    <row r="893" spans="4:8" ht="15.75">
      <c r="D893" s="85"/>
      <c r="E893" s="85"/>
      <c r="F893" s="85"/>
      <c r="G893" s="85"/>
      <c r="H893" s="85"/>
    </row>
    <row r="894" spans="4:8" ht="15.75">
      <c r="D894" s="85"/>
      <c r="E894" s="85"/>
      <c r="F894" s="85"/>
      <c r="G894" s="85"/>
      <c r="H894" s="85"/>
    </row>
    <row r="895" spans="4:8" ht="15.75">
      <c r="D895" s="85"/>
      <c r="E895" s="85"/>
      <c r="F895" s="85"/>
      <c r="G895" s="85"/>
      <c r="H895" s="85"/>
    </row>
    <row r="896" spans="4:8" ht="15.75">
      <c r="D896" s="85"/>
      <c r="E896" s="85"/>
      <c r="F896" s="85"/>
      <c r="G896" s="85"/>
      <c r="H896" s="85"/>
    </row>
    <row r="897" spans="4:8" ht="15.75">
      <c r="D897" s="85"/>
      <c r="E897" s="85"/>
      <c r="F897" s="85"/>
      <c r="G897" s="85"/>
      <c r="H897" s="85"/>
    </row>
    <row r="898" spans="4:8" ht="15.75">
      <c r="D898" s="85"/>
      <c r="E898" s="85"/>
      <c r="F898" s="85"/>
      <c r="G898" s="85"/>
      <c r="H898" s="85"/>
    </row>
    <row r="899" spans="4:8" ht="15.75">
      <c r="D899" s="85"/>
      <c r="E899" s="85"/>
      <c r="F899" s="85"/>
      <c r="G899" s="85"/>
      <c r="H899" s="85"/>
    </row>
    <row r="900" spans="4:8" ht="15.75">
      <c r="D900" s="85"/>
      <c r="E900" s="85"/>
      <c r="F900" s="85"/>
      <c r="G900" s="85"/>
      <c r="H900" s="85"/>
    </row>
    <row r="901" spans="4:8" ht="15.75">
      <c r="D901" s="85"/>
      <c r="E901" s="85"/>
      <c r="F901" s="85"/>
      <c r="G901" s="85"/>
      <c r="H901" s="85"/>
    </row>
    <row r="902" spans="4:8" ht="15.75">
      <c r="D902" s="85"/>
      <c r="E902" s="85"/>
      <c r="F902" s="85"/>
      <c r="G902" s="85"/>
      <c r="H902" s="85"/>
    </row>
    <row r="903" spans="4:8" ht="15.75">
      <c r="D903" s="85"/>
      <c r="E903" s="85"/>
      <c r="F903" s="85"/>
      <c r="G903" s="85"/>
      <c r="H903" s="85"/>
    </row>
    <row r="904" spans="4:8" ht="15.75">
      <c r="D904" s="85"/>
      <c r="E904" s="85"/>
      <c r="F904" s="85"/>
      <c r="G904" s="85"/>
      <c r="H904" s="85"/>
    </row>
    <row r="905" spans="4:8" ht="15.75">
      <c r="D905" s="85"/>
      <c r="E905" s="85"/>
      <c r="F905" s="85"/>
      <c r="G905" s="85"/>
      <c r="H905" s="85"/>
    </row>
    <row r="906" spans="4:8" ht="15.75">
      <c r="D906" s="85"/>
      <c r="E906" s="85"/>
      <c r="F906" s="85"/>
      <c r="G906" s="85"/>
      <c r="H906" s="85"/>
    </row>
    <row r="907" spans="4:8" ht="15.75">
      <c r="D907" s="85"/>
      <c r="E907" s="85"/>
      <c r="F907" s="85"/>
      <c r="G907" s="85"/>
      <c r="H907" s="85"/>
    </row>
    <row r="908" spans="4:8" ht="15.75">
      <c r="D908" s="85"/>
      <c r="E908" s="85"/>
      <c r="F908" s="85"/>
      <c r="G908" s="85"/>
      <c r="H908" s="85"/>
    </row>
    <row r="909" spans="4:8" ht="15.75">
      <c r="D909" s="85"/>
      <c r="E909" s="85"/>
      <c r="F909" s="85"/>
      <c r="G909" s="85"/>
      <c r="H909" s="85"/>
    </row>
    <row r="910" spans="4:8" ht="15.75">
      <c r="D910" s="85"/>
      <c r="E910" s="85"/>
      <c r="F910" s="85"/>
      <c r="G910" s="85"/>
      <c r="H910" s="85"/>
    </row>
    <row r="911" spans="4:8" ht="15.75">
      <c r="D911" s="85"/>
      <c r="E911" s="85"/>
      <c r="F911" s="85"/>
      <c r="G911" s="85"/>
      <c r="H911" s="85"/>
    </row>
    <row r="912" spans="4:8" ht="15.75">
      <c r="D912" s="85"/>
      <c r="E912" s="85"/>
      <c r="F912" s="85"/>
      <c r="G912" s="85"/>
      <c r="H912" s="85"/>
    </row>
    <row r="913" spans="4:8" ht="15.75">
      <c r="D913" s="85"/>
      <c r="E913" s="85"/>
      <c r="F913" s="85"/>
      <c r="G913" s="85"/>
      <c r="H913" s="85"/>
    </row>
    <row r="914" spans="4:8" ht="15.75">
      <c r="D914" s="85"/>
      <c r="E914" s="85"/>
      <c r="F914" s="85"/>
      <c r="G914" s="85"/>
      <c r="H914" s="85"/>
    </row>
    <row r="915" spans="4:8" ht="15.75">
      <c r="D915" s="85"/>
      <c r="E915" s="85"/>
      <c r="F915" s="85"/>
      <c r="G915" s="85"/>
      <c r="H915" s="85"/>
    </row>
    <row r="916" spans="4:8" ht="15.75">
      <c r="D916" s="85"/>
      <c r="E916" s="85"/>
      <c r="F916" s="85"/>
      <c r="G916" s="85"/>
      <c r="H916" s="85"/>
    </row>
    <row r="917" spans="4:8" ht="15.75">
      <c r="D917" s="85"/>
      <c r="E917" s="85"/>
      <c r="F917" s="85"/>
      <c r="G917" s="85"/>
      <c r="H917" s="85"/>
    </row>
    <row r="918" spans="4:8" ht="15.75">
      <c r="D918" s="85"/>
      <c r="E918" s="85"/>
      <c r="F918" s="85"/>
      <c r="G918" s="85"/>
      <c r="H918" s="85"/>
    </row>
    <row r="919" spans="4:8" ht="15.75">
      <c r="D919" s="85"/>
      <c r="E919" s="85"/>
      <c r="F919" s="85"/>
      <c r="G919" s="85"/>
      <c r="H919" s="85"/>
    </row>
    <row r="920" spans="4:8" ht="15.75">
      <c r="D920" s="85"/>
      <c r="E920" s="85"/>
      <c r="F920" s="85"/>
      <c r="G920" s="85"/>
      <c r="H920" s="85"/>
    </row>
    <row r="921" spans="4:8" ht="15.75">
      <c r="D921" s="85"/>
      <c r="E921" s="85"/>
      <c r="F921" s="85"/>
      <c r="G921" s="85"/>
      <c r="H921" s="85"/>
    </row>
    <row r="922" spans="4:8" ht="15.75">
      <c r="D922" s="85"/>
      <c r="E922" s="85"/>
      <c r="F922" s="85"/>
      <c r="G922" s="85"/>
      <c r="H922" s="85"/>
    </row>
    <row r="923" spans="4:8" ht="15.75">
      <c r="D923" s="85"/>
      <c r="E923" s="85"/>
      <c r="F923" s="85"/>
      <c r="G923" s="85"/>
      <c r="H923" s="85"/>
    </row>
    <row r="924" spans="4:8" ht="15.75">
      <c r="D924" s="85"/>
      <c r="E924" s="85"/>
      <c r="F924" s="85"/>
      <c r="G924" s="85"/>
      <c r="H924" s="85"/>
    </row>
    <row r="925" spans="4:8" ht="15.75">
      <c r="D925" s="85"/>
      <c r="E925" s="85"/>
      <c r="F925" s="85"/>
      <c r="G925" s="85"/>
      <c r="H925" s="85"/>
    </row>
    <row r="926" spans="4:8" ht="15.75">
      <c r="D926" s="85"/>
      <c r="E926" s="85"/>
      <c r="F926" s="85"/>
      <c r="G926" s="85"/>
      <c r="H926" s="85"/>
    </row>
    <row r="927" spans="4:8" ht="15.75">
      <c r="D927" s="85"/>
      <c r="E927" s="85"/>
      <c r="F927" s="85"/>
      <c r="G927" s="85"/>
      <c r="H927" s="85"/>
    </row>
    <row r="928" spans="4:8" ht="15.75">
      <c r="D928" s="85"/>
      <c r="E928" s="85"/>
      <c r="F928" s="85"/>
      <c r="G928" s="85"/>
      <c r="H928" s="85"/>
    </row>
    <row r="929" spans="4:8" ht="15.75">
      <c r="D929" s="85"/>
      <c r="E929" s="85"/>
      <c r="F929" s="85"/>
      <c r="G929" s="85"/>
      <c r="H929" s="85"/>
    </row>
    <row r="930" spans="4:8" ht="15.75">
      <c r="D930" s="85"/>
      <c r="E930" s="85"/>
      <c r="F930" s="85"/>
      <c r="G930" s="85"/>
      <c r="H930" s="85"/>
    </row>
    <row r="931" spans="4:8" ht="15.75">
      <c r="D931" s="85"/>
      <c r="E931" s="85"/>
      <c r="F931" s="85"/>
      <c r="G931" s="85"/>
      <c r="H931" s="85"/>
    </row>
    <row r="932" spans="4:8" ht="15.75">
      <c r="D932" s="85"/>
      <c r="E932" s="85"/>
      <c r="F932" s="85"/>
      <c r="G932" s="85"/>
      <c r="H932" s="85"/>
    </row>
    <row r="933" spans="4:8" ht="15.75">
      <c r="D933" s="85"/>
      <c r="E933" s="85"/>
      <c r="F933" s="85"/>
      <c r="G933" s="85"/>
      <c r="H933" s="85"/>
    </row>
    <row r="934" spans="4:8" ht="15.75">
      <c r="D934" s="85"/>
      <c r="E934" s="85"/>
      <c r="F934" s="85"/>
      <c r="G934" s="85"/>
      <c r="H934" s="85"/>
    </row>
    <row r="935" spans="4:8" ht="15.75">
      <c r="D935" s="85"/>
      <c r="E935" s="85"/>
      <c r="F935" s="85"/>
      <c r="G935" s="85"/>
      <c r="H935" s="85"/>
    </row>
    <row r="936" spans="4:8" ht="15.75">
      <c r="D936" s="85"/>
      <c r="E936" s="85"/>
      <c r="F936" s="85"/>
      <c r="G936" s="85"/>
      <c r="H936" s="85"/>
    </row>
    <row r="937" spans="4:8" ht="15.75">
      <c r="D937" s="85"/>
      <c r="E937" s="85"/>
      <c r="F937" s="85"/>
      <c r="G937" s="85"/>
      <c r="H937" s="85"/>
    </row>
    <row r="938" spans="4:8" ht="15.75">
      <c r="D938" s="85"/>
      <c r="E938" s="85"/>
      <c r="F938" s="85"/>
      <c r="G938" s="85"/>
      <c r="H938" s="85"/>
    </row>
    <row r="939" spans="4:8" ht="15.75">
      <c r="D939" s="85"/>
      <c r="E939" s="85"/>
      <c r="F939" s="85"/>
      <c r="G939" s="85"/>
      <c r="H939" s="85"/>
    </row>
    <row r="940" spans="4:8" ht="15.75">
      <c r="D940" s="85"/>
      <c r="E940" s="85"/>
      <c r="F940" s="85"/>
      <c r="G940" s="85"/>
      <c r="H940" s="85"/>
    </row>
    <row r="941" spans="4:8" ht="15.75">
      <c r="D941" s="85"/>
      <c r="E941" s="85"/>
      <c r="F941" s="85"/>
      <c r="G941" s="85"/>
      <c r="H941" s="85"/>
    </row>
    <row r="942" spans="4:8" ht="15.75">
      <c r="D942" s="85"/>
      <c r="E942" s="85"/>
      <c r="F942" s="85"/>
      <c r="G942" s="85"/>
      <c r="H942" s="85"/>
    </row>
    <row r="943" spans="4:8" ht="15.75">
      <c r="D943" s="85"/>
      <c r="E943" s="85"/>
      <c r="F943" s="85"/>
      <c r="G943" s="85"/>
      <c r="H943" s="85"/>
    </row>
    <row r="944" spans="4:8" ht="15.75">
      <c r="D944" s="85"/>
      <c r="E944" s="85"/>
      <c r="F944" s="85"/>
      <c r="G944" s="85"/>
      <c r="H944" s="85"/>
    </row>
    <row r="945" spans="4:8" ht="15.75">
      <c r="D945" s="85"/>
      <c r="E945" s="85"/>
      <c r="F945" s="85"/>
      <c r="G945" s="85"/>
      <c r="H945" s="85"/>
    </row>
    <row r="946" spans="4:8" ht="15.75">
      <c r="D946" s="85"/>
      <c r="E946" s="85"/>
      <c r="F946" s="85"/>
      <c r="G946" s="85"/>
      <c r="H946" s="85"/>
    </row>
    <row r="947" spans="4:8" ht="15.75">
      <c r="D947" s="85"/>
      <c r="E947" s="85"/>
      <c r="F947" s="85"/>
      <c r="G947" s="85"/>
      <c r="H947" s="85"/>
    </row>
    <row r="948" spans="4:8" ht="15.75">
      <c r="D948" s="85"/>
      <c r="E948" s="85"/>
      <c r="F948" s="85"/>
      <c r="G948" s="85"/>
      <c r="H948" s="85"/>
    </row>
  </sheetData>
  <mergeCells count="25">
    <mergeCell ref="D4:H4"/>
    <mergeCell ref="D5:H5"/>
    <mergeCell ref="D6:H6"/>
    <mergeCell ref="D7:H7"/>
    <mergeCell ref="D13:H13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0:H30"/>
    <mergeCell ref="D14:H14"/>
    <mergeCell ref="D15:H15"/>
  </mergeCells>
  <dataValidations count="1">
    <dataValidation type="list" allowBlank="1" showErrorMessage="1" sqref="D20:D22 B35 B53 B55 B58 D14:D18">
      <formula1>#REF!</formula1>
    </dataValidation>
  </dataValidations>
  <printOptions gridLines="1"/>
  <pageMargins left="0.31496062992125984" right="0.31496062992125984" top="0" bottom="0.74803149606299213" header="0" footer="0"/>
  <pageSetup paperSize="5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000"/>
  <sheetViews>
    <sheetView workbookViewId="0"/>
  </sheetViews>
  <sheetFormatPr baseColWidth="10" defaultColWidth="14.42578125" defaultRowHeight="15" customHeight="1"/>
  <cols>
    <col min="2" max="2" width="52" customWidth="1"/>
    <col min="11" max="12" width="8.140625" customWidth="1"/>
  </cols>
  <sheetData>
    <row r="1" spans="1:14">
      <c r="A1" s="93" t="str">
        <f ca="1">IFERROR(__xludf.DUMMYFUNCTION("query(MIR!C32:AF60,""SELECT C,D,M,V,W,X,AF,O"",1)"),"RESUMEN NARRATIVO")</f>
        <v>RESUMEN NARRATIVO</v>
      </c>
      <c r="B1" s="94" t="str">
        <f ca="1">IFERROR(__xludf.DUMMYFUNCTION("""COMPUTED_VALUE"""),"OBJETIVOS DE RESULTADO")</f>
        <v>OBJETIVOS DE RESULTADO</v>
      </c>
      <c r="C1" s="91" t="str">
        <f ca="1">IFERROR(__xludf.DUMMYFUNCTION("""COMPUTED_VALUE"""),"UNIDAD DE MEDIDA")</f>
        <v>UNIDAD DE MEDIDA</v>
      </c>
      <c r="D1" s="91" t="str">
        <f ca="1">IFERROR(__xludf.DUMMYFUNCTION("""COMPUTED_VALUE"""),"ABRIL")</f>
        <v>ABRIL</v>
      </c>
      <c r="E1" s="91" t="str">
        <f ca="1">IFERROR(__xludf.DUMMYFUNCTION("""COMPUTED_VALUE"""),"MAYO")</f>
        <v>MAYO</v>
      </c>
      <c r="F1" s="91" t="str">
        <f ca="1">IFERROR(__xludf.DUMMYFUNCTION("""COMPUTED_VALUE"""),"JUNIO")</f>
        <v>JUNIO</v>
      </c>
      <c r="G1" s="91" t="str">
        <f ca="1">IFERROR(__xludf.DUMMYFUNCTION("""COMPUTED_VALUE"""),"Meta alcanzada")</f>
        <v>Meta alcanzada</v>
      </c>
      <c r="H1" s="91" t="str">
        <f ca="1">IFERROR(__xludf.DUMMYFUNCTION("""COMPUTED_VALUE"""),"META PROGRAMADA")</f>
        <v>META PROGRAMADA</v>
      </c>
      <c r="I1" s="95" t="s">
        <v>340</v>
      </c>
      <c r="J1" s="96" t="s">
        <v>341</v>
      </c>
      <c r="K1" s="97" t="s">
        <v>342</v>
      </c>
      <c r="L1" s="97" t="s">
        <v>343</v>
      </c>
      <c r="M1" s="96" t="s">
        <v>344</v>
      </c>
    </row>
    <row r="2" spans="1:14">
      <c r="A2" s="91" t="str">
        <f ca="1">IFERROR(__xludf.DUMMYFUNCTION("""COMPUTED_VALUE"""),"FIN")</f>
        <v>FIN</v>
      </c>
      <c r="B2" s="94" t="str">
        <f ca="1">IFERROR(__xludf.DUMMYFUNCTION("""COMPUTED_VALUE"""),"Contribuir a la restitución de derechos a personas y grupos en condición de vulnerabilidad, mediante servicios de salud, nutrición, psicológicos, de habilidades para el trabajo, educación y atención y prevención a las violencias en Guadalajara en el 2023."&amp;" ")</f>
        <v xml:space="preserve">Contribuir a la restitución de derechos a personas y grupos en condición de vulnerabilidad, mediante servicios de salud, nutrición, psicológicos, de habilidades para el trabajo, educación y atención y prevención a las violencias en Guadalajara en el 2023. </v>
      </c>
      <c r="C2" s="91" t="str">
        <f ca="1">IFERROR(__xludf.DUMMYFUNCTION("""COMPUTED_VALUE"""),"Porcentaje")</f>
        <v>Porcentaje</v>
      </c>
      <c r="D2" s="91"/>
      <c r="E2" s="91"/>
      <c r="F2" s="91"/>
      <c r="G2" s="91" t="str">
        <f ca="1">IFERROR(__xludf.DUMMYFUNCTION("""COMPUTED_VALUE"""),"122.98%")</f>
        <v>122.98%</v>
      </c>
      <c r="H2" s="92">
        <f ca="1">IFERROR(__xludf.DUMMYFUNCTION("""COMPUTED_VALUE"""),37931)</f>
        <v>37931</v>
      </c>
      <c r="I2" s="98">
        <f t="shared" ref="I2:I29" si="0">SUM($D2:$F2)</f>
        <v>0</v>
      </c>
      <c r="J2" s="99">
        <f t="shared" ref="J2:J15" ca="1" si="1">I2/H2</f>
        <v>0</v>
      </c>
      <c r="M2" s="91" t="b">
        <v>0</v>
      </c>
    </row>
    <row r="3" spans="1:14">
      <c r="A3" s="91" t="str">
        <f ca="1">IFERROR(__xludf.DUMMYFUNCTION("""COMPUTED_VALUE"""),"PROPÓSITO")</f>
        <v>PROPÓSITO</v>
      </c>
      <c r="B3" s="94" t="str">
        <f ca="1">IFERROR(__xludf.DUMMYFUNCTION("""COMPUTED_VALUE"""),"La población de Guadalajara accede a servicios asistenciales y a bajo costo para disminuir los riesgos psicosociales a través de los programas del eje de Guadalajara en Paz del Sistema DIF Guadalajara en el 2023")</f>
        <v>La población de Guadalajara accede a servicios asistenciales y a bajo costo para disminuir los riesgos psicosociales a través de los programas del eje de Guadalajara en Paz del Sistema DIF Guadalajara en el 2023</v>
      </c>
      <c r="C3" s="91" t="str">
        <f ca="1">IFERROR(__xludf.DUMMYFUNCTION("""COMPUTED_VALUE"""),"Porcentaje")</f>
        <v>Porcentaje</v>
      </c>
      <c r="D3" s="91"/>
      <c r="E3" s="91"/>
      <c r="F3" s="91"/>
      <c r="G3" s="91" t="str">
        <f ca="1">IFERROR(__xludf.DUMMYFUNCTION("""COMPUTED_VALUE"""),"102.45%")</f>
        <v>102.45%</v>
      </c>
      <c r="H3" s="92">
        <f ca="1">IFERROR(__xludf.DUMMYFUNCTION("""COMPUTED_VALUE"""),1505457)</f>
        <v>1505457</v>
      </c>
      <c r="I3" s="98">
        <f t="shared" si="0"/>
        <v>0</v>
      </c>
      <c r="J3" s="99">
        <f t="shared" ca="1" si="1"/>
        <v>0</v>
      </c>
      <c r="M3" s="91" t="b">
        <v>0</v>
      </c>
    </row>
    <row r="4" spans="1:14">
      <c r="A4" s="91" t="str">
        <f ca="1">IFERROR(__xludf.DUMMYFUNCTION("""COMPUTED_VALUE"""),"COMPONENTE 1")</f>
        <v>COMPONENTE 1</v>
      </c>
      <c r="B4" s="94" t="str">
        <f ca="1">IFERROR(__xludf.DUMMYFUNCTION("""COMPUTED_VALUE"""),"C1. Servicios de reconstrucción del tejido social brindados en los Centros de Desarrollo Comunitario a grupos en condición de vulnerabilidad en 2023")</f>
        <v>C1. Servicios de reconstrucción del tejido social brindados en los Centros de Desarrollo Comunitario a grupos en condición de vulnerabilidad en 2023</v>
      </c>
      <c r="C4" s="91" t="str">
        <f ca="1">IFERROR(__xludf.DUMMYFUNCTION("""COMPUTED_VALUE"""),"Porcentaje")</f>
        <v>Porcentaje</v>
      </c>
      <c r="D4" s="91"/>
      <c r="E4" s="91"/>
      <c r="F4" s="91"/>
      <c r="G4" s="91" t="str">
        <f ca="1">IFERROR(__xludf.DUMMYFUNCTION("""COMPUTED_VALUE"""),"88.89%")</f>
        <v>88.89%</v>
      </c>
      <c r="H4" s="92">
        <f ca="1">IFERROR(__xludf.DUMMYFUNCTION("""COMPUTED_VALUE"""),9)</f>
        <v>9</v>
      </c>
      <c r="I4" s="98">
        <f t="shared" si="0"/>
        <v>0</v>
      </c>
      <c r="J4" s="99">
        <f t="shared" ca="1" si="1"/>
        <v>0</v>
      </c>
      <c r="M4" s="90" t="b">
        <v>1</v>
      </c>
    </row>
    <row r="5" spans="1:14">
      <c r="A5" s="91" t="str">
        <f ca="1">IFERROR(__xludf.DUMMYFUNCTION("""COMPUTED_VALUE"""),"ACTIVIDAD 1.1")</f>
        <v>ACTIVIDAD 1.1</v>
      </c>
      <c r="B5" s="94" t="str">
        <f ca="1">IFERROR(__xludf.DUMMYFUNCTION("""COMPUTED_VALUE"""),"Apoyos asistenciales entregados a la población vulnerable que radica en la municipalidad de Guadalajara y en tránsito en el programa de Trabajo Social Asistencial durante el 2023")</f>
        <v>Apoyos asistenciales entregados a la población vulnerable que radica en la municipalidad de Guadalajara y en tránsito en el programa de Trabajo Social Asistencial durante el 2023</v>
      </c>
      <c r="C5" s="91" t="str">
        <f ca="1">IFERROR(__xludf.DUMMYFUNCTION("""COMPUTED_VALUE"""),"Porcentaje")</f>
        <v>Porcentaje</v>
      </c>
      <c r="D5" s="91">
        <f ca="1">IFERROR(__xludf.DUMMYFUNCTION("""COMPUTED_VALUE"""),1019)</f>
        <v>1019</v>
      </c>
      <c r="E5" s="91">
        <f ca="1">IFERROR(__xludf.DUMMYFUNCTION("""COMPUTED_VALUE"""),729)</f>
        <v>729</v>
      </c>
      <c r="F5" s="91">
        <f ca="1">IFERROR(__xludf.DUMMYFUNCTION("""COMPUTED_VALUE"""),352)</f>
        <v>352</v>
      </c>
      <c r="G5" s="91" t="str">
        <f ca="1">IFERROR(__xludf.DUMMYFUNCTION("""COMPUTED_VALUE"""),"103.9%")</f>
        <v>103.9%</v>
      </c>
      <c r="H5" s="92">
        <f ca="1">IFERROR(__xludf.DUMMYFUNCTION("""COMPUTED_VALUE"""),7450)</f>
        <v>7450</v>
      </c>
      <c r="I5" s="98">
        <f t="shared" ca="1" si="0"/>
        <v>2100</v>
      </c>
      <c r="J5" s="99">
        <f t="shared" ca="1" si="1"/>
        <v>0.28187919463087246</v>
      </c>
      <c r="M5" s="90" t="b">
        <v>1</v>
      </c>
    </row>
    <row r="6" spans="1:14">
      <c r="A6" s="91" t="str">
        <f ca="1">IFERROR(__xludf.DUMMYFUNCTION("""COMPUTED_VALUE"""),"ACTIVIDAD 1.2")</f>
        <v>ACTIVIDAD 1.2</v>
      </c>
      <c r="B6" s="94" t="str">
        <f ca="1">IFERROR(__xludf.DUMMYFUNCTION("""COMPUTED_VALUE"""),"Expedientes integrados para la atención a la población vulnerable de Guadalajara durante el 2023")</f>
        <v>Expedientes integrados para la atención a la población vulnerable de Guadalajara durante el 2023</v>
      </c>
      <c r="C6" s="91" t="str">
        <f ca="1">IFERROR(__xludf.DUMMYFUNCTION("""COMPUTED_VALUE"""),"Porcentaje")</f>
        <v>Porcentaje</v>
      </c>
      <c r="D6" s="91">
        <f ca="1">IFERROR(__xludf.DUMMYFUNCTION("""COMPUTED_VALUE"""),13)</f>
        <v>13</v>
      </c>
      <c r="E6" s="91">
        <f ca="1">IFERROR(__xludf.DUMMYFUNCTION("""COMPUTED_VALUE"""),46)</f>
        <v>46</v>
      </c>
      <c r="F6" s="91">
        <f ca="1">IFERROR(__xludf.DUMMYFUNCTION("""COMPUTED_VALUE"""),44)</f>
        <v>44</v>
      </c>
      <c r="G6" s="91" t="str">
        <f ca="1">IFERROR(__xludf.DUMMYFUNCTION("""COMPUTED_VALUE"""),"282.7%")</f>
        <v>282.7%</v>
      </c>
      <c r="H6" s="92">
        <f ca="1">IFERROR(__xludf.DUMMYFUNCTION("""COMPUTED_VALUE"""),640)</f>
        <v>640</v>
      </c>
      <c r="I6" s="98">
        <f t="shared" ca="1" si="0"/>
        <v>103</v>
      </c>
      <c r="J6" s="99">
        <f t="shared" ca="1" si="1"/>
        <v>0.16093750000000001</v>
      </c>
      <c r="M6" s="90" t="b">
        <v>1</v>
      </c>
    </row>
    <row r="7" spans="1:14">
      <c r="A7" s="91" t="str">
        <f ca="1">IFERROR(__xludf.DUMMYFUNCTION("""COMPUTED_VALUE"""),"ACTIVIDAD 1.3")</f>
        <v>ACTIVIDAD 1.3</v>
      </c>
      <c r="B7" s="94" t="str">
        <f ca="1">IFERROR(__xludf.DUMMYFUNCTION("""COMPUTED_VALUE"""),"Servicios médicos de atención y prevención de primer nivel brindados, durante el 2023")</f>
        <v>Servicios médicos de atención y prevención de primer nivel brindados, durante el 2023</v>
      </c>
      <c r="C7" s="91" t="str">
        <f ca="1">IFERROR(__xludf.DUMMYFUNCTION("""COMPUTED_VALUE"""),"Porcentaje")</f>
        <v>Porcentaje</v>
      </c>
      <c r="D7" s="91">
        <f ca="1">IFERROR(__xludf.DUMMYFUNCTION("""COMPUTED_VALUE"""),667)</f>
        <v>667</v>
      </c>
      <c r="E7" s="91">
        <f ca="1">IFERROR(__xludf.DUMMYFUNCTION("""COMPUTED_VALUE"""),916)</f>
        <v>916</v>
      </c>
      <c r="F7" s="91">
        <f ca="1">IFERROR(__xludf.DUMMYFUNCTION("""COMPUTED_VALUE"""),981)</f>
        <v>981</v>
      </c>
      <c r="G7" s="91" t="str">
        <f ca="1">IFERROR(__xludf.DUMMYFUNCTION("""COMPUTED_VALUE"""),"233.1%")</f>
        <v>233.1%</v>
      </c>
      <c r="H7" s="92">
        <f ca="1">IFERROR(__xludf.DUMMYFUNCTION("""COMPUTED_VALUE"""),5000)</f>
        <v>5000</v>
      </c>
      <c r="I7" s="98">
        <f t="shared" ca="1" si="0"/>
        <v>2564</v>
      </c>
      <c r="J7" s="99">
        <f t="shared" ca="1" si="1"/>
        <v>0.51280000000000003</v>
      </c>
      <c r="M7" s="90" t="b">
        <v>1</v>
      </c>
      <c r="N7" s="90" t="s">
        <v>345</v>
      </c>
    </row>
    <row r="8" spans="1:14">
      <c r="A8" s="91" t="str">
        <f ca="1">IFERROR(__xludf.DUMMYFUNCTION("""COMPUTED_VALUE"""),"ACTIVIDAD 1.4")</f>
        <v>ACTIVIDAD 1.4</v>
      </c>
      <c r="B8" s="94" t="str">
        <f ca="1">IFERROR(__xludf.DUMMYFUNCTION("""COMPUTED_VALUE"""),"Alimentos nutritivos e inocuos entregados a la población con inseguridad alimentaria en el municipio de Guadalajara, durante el 2023")</f>
        <v>Alimentos nutritivos e inocuos entregados a la población con inseguridad alimentaria en el municipio de Guadalajara, durante el 2023</v>
      </c>
      <c r="C8" s="91" t="str">
        <f ca="1">IFERROR(__xludf.DUMMYFUNCTION("""COMPUTED_VALUE"""),"Porcentaje")</f>
        <v>Porcentaje</v>
      </c>
      <c r="D8" s="91">
        <f ca="1">IFERROR(__xludf.DUMMYFUNCTION("""COMPUTED_VALUE"""),6265)</f>
        <v>6265</v>
      </c>
      <c r="E8" s="91">
        <f ca="1">IFERROR(__xludf.DUMMYFUNCTION("""COMPUTED_VALUE"""),0)</f>
        <v>0</v>
      </c>
      <c r="F8" s="91">
        <f ca="1">IFERROR(__xludf.DUMMYFUNCTION("""COMPUTED_VALUE"""),0)</f>
        <v>0</v>
      </c>
      <c r="G8" s="91" t="str">
        <f ca="1">IFERROR(__xludf.DUMMYFUNCTION("""COMPUTED_VALUE"""),"100%")</f>
        <v>100%</v>
      </c>
      <c r="H8" s="92">
        <f ca="1">IFERROR(__xludf.DUMMYFUNCTION("""COMPUTED_VALUE"""),8791)</f>
        <v>8791</v>
      </c>
      <c r="I8" s="98">
        <f t="shared" ca="1" si="0"/>
        <v>6265</v>
      </c>
      <c r="J8" s="99">
        <f t="shared" ca="1" si="1"/>
        <v>0.71266067569104763</v>
      </c>
      <c r="M8" s="90" t="b">
        <v>1</v>
      </c>
      <c r="N8" s="90" t="s">
        <v>345</v>
      </c>
    </row>
    <row r="9" spans="1:14">
      <c r="A9" s="91" t="str">
        <f ca="1">IFERROR(__xludf.DUMMYFUNCTION("""COMPUTED_VALUE"""),"ACTIVIDAD 1.5")</f>
        <v>ACTIVIDAD 1.5</v>
      </c>
      <c r="B9" s="94" t="str">
        <f ca="1">IFERROR(__xludf.DUMMYFUNCTION("""COMPUTED_VALUE"""),"Apoyos del Programa de Alimentación Escolar entregados en 2023")</f>
        <v>Apoyos del Programa de Alimentación Escolar entregados en 2023</v>
      </c>
      <c r="C9" s="91" t="str">
        <f ca="1">IFERROR(__xludf.DUMMYFUNCTION("""COMPUTED_VALUE"""),"Porcentaje")</f>
        <v>Porcentaje</v>
      </c>
      <c r="D9" s="91">
        <f ca="1">IFERROR(__xludf.DUMMYFUNCTION("""COMPUTED_VALUE"""),338310)</f>
        <v>338310</v>
      </c>
      <c r="E9" s="91">
        <f ca="1">IFERROR(__xludf.DUMMYFUNCTION("""COMPUTED_VALUE"""),175420)</f>
        <v>175420</v>
      </c>
      <c r="F9" s="91">
        <f ca="1">IFERROR(__xludf.DUMMYFUNCTION("""COMPUTED_VALUE"""),162890)</f>
        <v>162890</v>
      </c>
      <c r="G9" s="91" t="str">
        <f ca="1">IFERROR(__xludf.DUMMYFUNCTION("""COMPUTED_VALUE"""),"100%")</f>
        <v>100%</v>
      </c>
      <c r="H9" s="92">
        <f ca="1">IFERROR(__xludf.DUMMYFUNCTION("""COMPUTED_VALUE"""),1190350)</f>
        <v>1190350</v>
      </c>
      <c r="I9" s="98">
        <f t="shared" ca="1" si="0"/>
        <v>676620</v>
      </c>
      <c r="J9" s="99">
        <f t="shared" ca="1" si="1"/>
        <v>0.56842105263157894</v>
      </c>
      <c r="M9" s="90" t="b">
        <v>1</v>
      </c>
    </row>
    <row r="10" spans="1:14">
      <c r="A10" s="91" t="str">
        <f ca="1">IFERROR(__xludf.DUMMYFUNCTION("""COMPUTED_VALUE"""),"ACTIVIDAD 1.6")</f>
        <v>ACTIVIDAD 1.6</v>
      </c>
      <c r="B10" s="94" t="str">
        <f ca="1">IFERROR(__xludf.DUMMYFUNCTION("""COMPUTED_VALUE"""),"Apoyos del Programa de Atención Alimentaria a Grupos Prioritarios entregados en 2023")</f>
        <v>Apoyos del Programa de Atención Alimentaria a Grupos Prioritarios entregados en 2023</v>
      </c>
      <c r="C10" s="91" t="str">
        <f ca="1">IFERROR(__xludf.DUMMYFUNCTION("""COMPUTED_VALUE"""),"Porcentaje")</f>
        <v>Porcentaje</v>
      </c>
      <c r="D10" s="91">
        <f ca="1">IFERROR(__xludf.DUMMYFUNCTION("""COMPUTED_VALUE"""),0)</f>
        <v>0</v>
      </c>
      <c r="E10" s="91">
        <f ca="1">IFERROR(__xludf.DUMMYFUNCTION("""COMPUTED_VALUE"""),4382)</f>
        <v>4382</v>
      </c>
      <c r="F10" s="91">
        <f ca="1">IFERROR(__xludf.DUMMYFUNCTION("""COMPUTED_VALUE"""),2191)</f>
        <v>2191</v>
      </c>
      <c r="G10" s="91" t="str">
        <f ca="1">IFERROR(__xludf.DUMMYFUNCTION("""COMPUTED_VALUE"""),"103%")</f>
        <v>103%</v>
      </c>
      <c r="H10" s="92">
        <f ca="1">IFERROR(__xludf.DUMMYFUNCTION("""COMPUTED_VALUE"""),26292)</f>
        <v>26292</v>
      </c>
      <c r="I10" s="98">
        <f t="shared" ca="1" si="0"/>
        <v>6573</v>
      </c>
      <c r="J10" s="99">
        <f t="shared" ca="1" si="1"/>
        <v>0.25</v>
      </c>
      <c r="M10" s="90" t="b">
        <v>1</v>
      </c>
    </row>
    <row r="11" spans="1:14">
      <c r="A11" s="91" t="str">
        <f ca="1">IFERROR(__xludf.DUMMYFUNCTION("""COMPUTED_VALUE"""),"ACTIVIDAD 1.7")</f>
        <v>ACTIVIDAD 1.7</v>
      </c>
      <c r="B11" s="94" t="str">
        <f ca="1">IFERROR(__xludf.DUMMYFUNCTION("""COMPUTED_VALUE"""),"Apoyos del Programa de Atención Alimentaria en los Primeros 1000 Días de Vida entregados en 2023")</f>
        <v>Apoyos del Programa de Atención Alimentaria en los Primeros 1000 Días de Vida entregados en 2023</v>
      </c>
      <c r="C11" s="91" t="str">
        <f ca="1">IFERROR(__xludf.DUMMYFUNCTION("""COMPUTED_VALUE"""),"Porcentaje")</f>
        <v>Porcentaje</v>
      </c>
      <c r="D11" s="91">
        <f ca="1">IFERROR(__xludf.DUMMYFUNCTION("""COMPUTED_VALUE"""),0)</f>
        <v>0</v>
      </c>
      <c r="E11" s="91">
        <f ca="1">IFERROR(__xludf.DUMMYFUNCTION("""COMPUTED_VALUE"""),670)</f>
        <v>670</v>
      </c>
      <c r="F11" s="91">
        <f ca="1">IFERROR(__xludf.DUMMYFUNCTION("""COMPUTED_VALUE"""),335)</f>
        <v>335</v>
      </c>
      <c r="G11" s="91" t="str">
        <f ca="1">IFERROR(__xludf.DUMMYFUNCTION("""COMPUTED_VALUE"""),"100%")</f>
        <v>100%</v>
      </c>
      <c r="H11" s="92">
        <f ca="1">IFERROR(__xludf.DUMMYFUNCTION("""COMPUTED_VALUE"""),4020)</f>
        <v>4020</v>
      </c>
      <c r="I11" s="98">
        <f t="shared" ca="1" si="0"/>
        <v>1005</v>
      </c>
      <c r="J11" s="99">
        <f t="shared" ca="1" si="1"/>
        <v>0.25</v>
      </c>
      <c r="M11" s="90" t="b">
        <v>1</v>
      </c>
    </row>
    <row r="12" spans="1:14">
      <c r="A12" s="91" t="str">
        <f ca="1">IFERROR(__xludf.DUMMYFUNCTION("""COMPUTED_VALUE"""),"ACTIVIDAD 1.8")</f>
        <v>ACTIVIDAD 1.8</v>
      </c>
      <c r="B12" s="94" t="str">
        <f ca="1">IFERROR(__xludf.DUMMYFUNCTION("""COMPUTED_VALUE"""),"Prácticas de autocuidado, prevención y atención a la salud bucal y maxilofacial a través de los servicios otorgados, durante el 2023")</f>
        <v>Prácticas de autocuidado, prevención y atención a la salud bucal y maxilofacial a través de los servicios otorgados, durante el 2023</v>
      </c>
      <c r="C12" s="91" t="str">
        <f ca="1">IFERROR(__xludf.DUMMYFUNCTION("""COMPUTED_VALUE"""),"Porcentaje")</f>
        <v>Porcentaje</v>
      </c>
      <c r="D12" s="91">
        <f ca="1">IFERROR(__xludf.DUMMYFUNCTION("""COMPUTED_VALUE"""),297)</f>
        <v>297</v>
      </c>
      <c r="E12" s="91">
        <f ca="1">IFERROR(__xludf.DUMMYFUNCTION("""COMPUTED_VALUE"""),556)</f>
        <v>556</v>
      </c>
      <c r="F12" s="91">
        <f ca="1">IFERROR(__xludf.DUMMYFUNCTION("""COMPUTED_VALUE"""),666)</f>
        <v>666</v>
      </c>
      <c r="G12" s="91" t="str">
        <f ca="1">IFERROR(__xludf.DUMMYFUNCTION("""COMPUTED_VALUE"""),"115.1%")</f>
        <v>115.1%</v>
      </c>
      <c r="H12" s="92">
        <f ca="1">IFERROR(__xludf.DUMMYFUNCTION("""COMPUTED_VALUE"""),6000)</f>
        <v>6000</v>
      </c>
      <c r="I12" s="98">
        <f t="shared" ca="1" si="0"/>
        <v>1519</v>
      </c>
      <c r="J12" s="99">
        <f t="shared" ca="1" si="1"/>
        <v>0.25316666666666665</v>
      </c>
      <c r="M12" s="90" t="b">
        <v>1</v>
      </c>
    </row>
    <row r="13" spans="1:14">
      <c r="A13" s="91" t="str">
        <f ca="1">IFERROR(__xludf.DUMMYFUNCTION("""COMPUTED_VALUE"""),"ACTIVIDAD 1.9")</f>
        <v>ACTIVIDAD 1.9</v>
      </c>
      <c r="B13" s="94" t="str">
        <f ca="1">IFERROR(__xludf.DUMMYFUNCTION("""COMPUTED_VALUE"""),"Personas en situación de vulnerabilidad que recibieron atención psicológica en CDC, y CAETF en 2023")</f>
        <v>Personas en situación de vulnerabilidad que recibieron atención psicológica en CDC, y CAETF en 2023</v>
      </c>
      <c r="C13" s="91" t="str">
        <f ca="1">IFERROR(__xludf.DUMMYFUNCTION("""COMPUTED_VALUE"""),"Promedio")</f>
        <v>Promedio</v>
      </c>
      <c r="D13" s="91">
        <f ca="1">IFERROR(__xludf.DUMMYFUNCTION("""COMPUTED_VALUE"""),678)</f>
        <v>678</v>
      </c>
      <c r="E13" s="91">
        <f ca="1">IFERROR(__xludf.DUMMYFUNCTION("""COMPUTED_VALUE"""),878)</f>
        <v>878</v>
      </c>
      <c r="F13" s="91">
        <f ca="1">IFERROR(__xludf.DUMMYFUNCTION("""COMPUTED_VALUE"""),858)</f>
        <v>858</v>
      </c>
      <c r="G13" s="91" t="str">
        <f ca="1">IFERROR(__xludf.DUMMYFUNCTION("""COMPUTED_VALUE"""),"2361.8")</f>
        <v>2361.8</v>
      </c>
      <c r="H13" s="92">
        <f ca="1">IFERROR(__xludf.DUMMYFUNCTION("""COMPUTED_VALUE"""),2550)</f>
        <v>2550</v>
      </c>
      <c r="I13" s="98">
        <f t="shared" ca="1" si="0"/>
        <v>2414</v>
      </c>
      <c r="J13" s="99">
        <f t="shared" ca="1" si="1"/>
        <v>0.94666666666666666</v>
      </c>
      <c r="K13" s="91">
        <f ca="1">I13/4</f>
        <v>603.5</v>
      </c>
      <c r="L13" s="91">
        <f ca="1">I13/3</f>
        <v>804.66666666666663</v>
      </c>
      <c r="M13" s="90" t="b">
        <v>1</v>
      </c>
    </row>
    <row r="14" spans="1:14">
      <c r="A14" s="91" t="str">
        <f ca="1">IFERROR(__xludf.DUMMYFUNCTION("""COMPUTED_VALUE"""),"ACTIVIDAD 1.10")</f>
        <v>ACTIVIDAD 1.10</v>
      </c>
      <c r="B14" s="94" t="str">
        <f ca="1">IFERROR(__xludf.DUMMYFUNCTION("""COMPUTED_VALUE"""),"Sesiones de atención psicológica brindadas en CDC, y CAETF en 2023")</f>
        <v>Sesiones de atención psicológica brindadas en CDC, y CAETF en 2023</v>
      </c>
      <c r="C14" s="91" t="str">
        <f ca="1">IFERROR(__xludf.DUMMYFUNCTION("""COMPUTED_VALUE"""),"Porcentaje")</f>
        <v>Porcentaje</v>
      </c>
      <c r="D14" s="91">
        <f ca="1">IFERROR(__xludf.DUMMYFUNCTION("""COMPUTED_VALUE"""),819)</f>
        <v>819</v>
      </c>
      <c r="E14" s="91">
        <f ca="1">IFERROR(__xludf.DUMMYFUNCTION("""COMPUTED_VALUE"""),1270)</f>
        <v>1270</v>
      </c>
      <c r="F14" s="91">
        <f ca="1">IFERROR(__xludf.DUMMYFUNCTION("""COMPUTED_VALUE"""),1426)</f>
        <v>1426</v>
      </c>
      <c r="G14" s="91" t="str">
        <f ca="1">IFERROR(__xludf.DUMMYFUNCTION("""COMPUTED_VALUE"""),"97.1%")</f>
        <v>97.1%</v>
      </c>
      <c r="H14" s="92">
        <f ca="1">IFERROR(__xludf.DUMMYFUNCTION("""COMPUTED_VALUE"""),15000)</f>
        <v>15000</v>
      </c>
      <c r="I14" s="98">
        <f t="shared" ca="1" si="0"/>
        <v>3515</v>
      </c>
      <c r="J14" s="99">
        <f t="shared" ca="1" si="1"/>
        <v>0.23433333333333334</v>
      </c>
      <c r="M14" s="90" t="b">
        <v>1</v>
      </c>
    </row>
    <row r="15" spans="1:14">
      <c r="A15" s="91" t="str">
        <f ca="1">IFERROR(__xludf.DUMMYFUNCTION("""COMPUTED_VALUE"""),"ACTIVIDAD 1.11")</f>
        <v>ACTIVIDAD 1.11</v>
      </c>
      <c r="B15" s="94" t="str">
        <f ca="1">IFERROR(__xludf.DUMMYFUNCTION("""COMPUTED_VALUE"""),"Estudios de laboratorio para la detección oportuna de riesgos en la salud realizados, durante el 2023")</f>
        <v>Estudios de laboratorio para la detección oportuna de riesgos en la salud realizados, durante el 2023</v>
      </c>
      <c r="C15" s="91" t="str">
        <f ca="1">IFERROR(__xludf.DUMMYFUNCTION("""COMPUTED_VALUE"""),"Porcentaje")</f>
        <v>Porcentaje</v>
      </c>
      <c r="D15" s="91">
        <f ca="1">IFERROR(__xludf.DUMMYFUNCTION("""COMPUTED_VALUE"""),1286)</f>
        <v>1286</v>
      </c>
      <c r="E15" s="91">
        <f ca="1">IFERROR(__xludf.DUMMYFUNCTION("""COMPUTED_VALUE"""),3830)</f>
        <v>3830</v>
      </c>
      <c r="F15" s="91">
        <f ca="1">IFERROR(__xludf.DUMMYFUNCTION("""COMPUTED_VALUE"""),2868)</f>
        <v>2868</v>
      </c>
      <c r="G15" s="91" t="str">
        <f ca="1">IFERROR(__xludf.DUMMYFUNCTION("""COMPUTED_VALUE"""),"100.2%")</f>
        <v>100.2%</v>
      </c>
      <c r="H15" s="92">
        <f ca="1">IFERROR(__xludf.DUMMYFUNCTION("""COMPUTED_VALUE"""),29000)</f>
        <v>29000</v>
      </c>
      <c r="I15" s="98">
        <f t="shared" ca="1" si="0"/>
        <v>7984</v>
      </c>
      <c r="J15" s="99">
        <f t="shared" ca="1" si="1"/>
        <v>0.27531034482758621</v>
      </c>
      <c r="M15" s="90" t="b">
        <v>1</v>
      </c>
    </row>
    <row r="16" spans="1:14">
      <c r="A16" s="91" t="str">
        <f ca="1">IFERROR(__xludf.DUMMYFUNCTION("""COMPUTED_VALUE"""),"ACTIVIDAD 1.12")</f>
        <v>ACTIVIDAD 1.12</v>
      </c>
      <c r="B16" s="94" t="str">
        <f ca="1">IFERROR(__xludf.DUMMYFUNCTION("""COMPUTED_VALUE"""),"Usuarios y usuarias recibieron raciones alimenticias en los comedores comunitarios, durante el 2023")</f>
        <v>Usuarios y usuarias recibieron raciones alimenticias en los comedores comunitarios, durante el 2023</v>
      </c>
      <c r="C16" s="91" t="str">
        <f ca="1">IFERROR(__xludf.DUMMYFUNCTION("""COMPUTED_VALUE"""),"Promedio")</f>
        <v>Promedio</v>
      </c>
      <c r="D16" s="91">
        <f ca="1">IFERROR(__xludf.DUMMYFUNCTION("""COMPUTED_VALUE"""),510)</f>
        <v>510</v>
      </c>
      <c r="E16" s="91">
        <f ca="1">IFERROR(__xludf.DUMMYFUNCTION("""COMPUTED_VALUE"""),510)</f>
        <v>510</v>
      </c>
      <c r="F16" s="91">
        <f ca="1">IFERROR(__xludf.DUMMYFUNCTION("""COMPUTED_VALUE"""),510)</f>
        <v>510</v>
      </c>
      <c r="G16" s="91" t="str">
        <f ca="1">IFERROR(__xludf.DUMMYFUNCTION("""COMPUTED_VALUE"""),"1652")</f>
        <v>1652</v>
      </c>
      <c r="H16" s="92">
        <f ca="1">IFERROR(__xludf.DUMMYFUNCTION("""COMPUTED_VALUE"""),1500)</f>
        <v>1500</v>
      </c>
      <c r="I16" s="98">
        <f t="shared" ca="1" si="0"/>
        <v>1530</v>
      </c>
      <c r="J16" s="99"/>
      <c r="K16" s="91">
        <f ca="1">I16/4</f>
        <v>382.5</v>
      </c>
      <c r="L16" s="91">
        <f ca="1">I16/3</f>
        <v>510</v>
      </c>
      <c r="M16" s="90" t="b">
        <v>1</v>
      </c>
    </row>
    <row r="17" spans="1:14">
      <c r="A17" s="91" t="str">
        <f ca="1">IFERROR(__xludf.DUMMYFUNCTION("""COMPUTED_VALUE"""),"ACTIVIDAD 1.13")</f>
        <v>ACTIVIDAD 1.13</v>
      </c>
      <c r="B17" s="94" t="str">
        <f ca="1">IFERROR(__xludf.DUMMYFUNCTION("""COMPUTED_VALUE"""),"Entrega de raciones alimenticias en los comedores comunitarios, durante el 2023")</f>
        <v>Entrega de raciones alimenticias en los comedores comunitarios, durante el 2023</v>
      </c>
      <c r="C17" s="91" t="str">
        <f ca="1">IFERROR(__xludf.DUMMYFUNCTION("""COMPUTED_VALUE"""),"Porcentaje")</f>
        <v>Porcentaje</v>
      </c>
      <c r="D17" s="91">
        <f ca="1">IFERROR(__xludf.DUMMYFUNCTION("""COMPUTED_VALUE"""),10200)</f>
        <v>10200</v>
      </c>
      <c r="E17" s="91">
        <f ca="1">IFERROR(__xludf.DUMMYFUNCTION("""COMPUTED_VALUE"""),22440)</f>
        <v>22440</v>
      </c>
      <c r="F17" s="91">
        <f ca="1">IFERROR(__xludf.DUMMYFUNCTION("""COMPUTED_VALUE"""),22440)</f>
        <v>22440</v>
      </c>
      <c r="G17" s="91" t="str">
        <f ca="1">IFERROR(__xludf.DUMMYFUNCTION("""COMPUTED_VALUE"""),"112.4%")</f>
        <v>112.4%</v>
      </c>
      <c r="H17" s="92">
        <f ca="1">IFERROR(__xludf.DUMMYFUNCTION("""COMPUTED_VALUE"""),224400)</f>
        <v>224400</v>
      </c>
      <c r="I17" s="98">
        <f t="shared" ca="1" si="0"/>
        <v>55080</v>
      </c>
      <c r="J17" s="99">
        <f ca="1">I17/H17</f>
        <v>0.24545454545454545</v>
      </c>
      <c r="M17" s="90" t="b">
        <v>1</v>
      </c>
    </row>
    <row r="18" spans="1:14">
      <c r="A18" s="91" t="str">
        <f ca="1">IFERROR(__xludf.DUMMYFUNCTION("""COMPUTED_VALUE"""),"ACTIVIDAD 1.14")</f>
        <v>ACTIVIDAD 1.14</v>
      </c>
      <c r="B18" s="94" t="str">
        <f ca="1">IFERROR(__xludf.DUMMYFUNCTION("""COMPUTED_VALUE"""),"Usuarios que asistieron a talleres y cursos realizados en CDC e ICAS trimestralmente en 2023")</f>
        <v>Usuarios que asistieron a talleres y cursos realizados en CDC e ICAS trimestralmente en 2023</v>
      </c>
      <c r="C18" s="91" t="str">
        <f ca="1">IFERROR(__xludf.DUMMYFUNCTION("""COMPUTED_VALUE"""),"Promedio")</f>
        <v>Promedio</v>
      </c>
      <c r="D18" s="91">
        <f ca="1">IFERROR(__xludf.DUMMYFUNCTION("""COMPUTED_VALUE"""),1440)</f>
        <v>1440</v>
      </c>
      <c r="E18" s="91">
        <f ca="1">IFERROR(__xludf.DUMMYFUNCTION("""COMPUTED_VALUE"""),1549)</f>
        <v>1549</v>
      </c>
      <c r="F18" s="91">
        <f ca="1">IFERROR(__xludf.DUMMYFUNCTION("""COMPUTED_VALUE"""),1492)</f>
        <v>1492</v>
      </c>
      <c r="G18" s="91" t="str">
        <f ca="1">IFERROR(__xludf.DUMMYFUNCTION("""COMPUTED_VALUE"""),"4801.3")</f>
        <v>4801.3</v>
      </c>
      <c r="H18" s="92">
        <f ca="1">IFERROR(__xludf.DUMMYFUNCTION("""COMPUTED_VALUE"""),4500)</f>
        <v>4500</v>
      </c>
      <c r="I18" s="98">
        <f t="shared" ca="1" si="0"/>
        <v>4481</v>
      </c>
      <c r="J18" s="99"/>
      <c r="K18" s="91">
        <f t="shared" ref="K18:K19" ca="1" si="2">I18/4</f>
        <v>1120.25</v>
      </c>
      <c r="L18" s="91">
        <f t="shared" ref="L18:L19" ca="1" si="3">I18/3</f>
        <v>1493.6666666666667</v>
      </c>
      <c r="M18" s="90" t="b">
        <v>1</v>
      </c>
    </row>
    <row r="19" spans="1:14">
      <c r="A19" s="91" t="str">
        <f ca="1">IFERROR(__xludf.DUMMYFUNCTION("""COMPUTED_VALUE"""),"ACTIVIDAD 1.15")</f>
        <v>ACTIVIDAD 1.15</v>
      </c>
      <c r="B19" s="94" t="str">
        <f ca="1">IFERROR(__xludf.DUMMYFUNCTION("""COMPUTED_VALUE"""),"Talleres y cursos realizados en CDC e ICAS trimestralmente en 2023")</f>
        <v>Talleres y cursos realizados en CDC e ICAS trimestralmente en 2023</v>
      </c>
      <c r="C19" s="91" t="str">
        <f ca="1">IFERROR(__xludf.DUMMYFUNCTION("""COMPUTED_VALUE"""),"Promedio")</f>
        <v>Promedio</v>
      </c>
      <c r="D19" s="91">
        <f ca="1">IFERROR(__xludf.DUMMYFUNCTION("""COMPUTED_VALUE"""),261)</f>
        <v>261</v>
      </c>
      <c r="E19" s="91">
        <f ca="1">IFERROR(__xludf.DUMMYFUNCTION("""COMPUTED_VALUE"""),294)</f>
        <v>294</v>
      </c>
      <c r="F19" s="91">
        <f ca="1">IFERROR(__xludf.DUMMYFUNCTION("""COMPUTED_VALUE"""),268)</f>
        <v>268</v>
      </c>
      <c r="G19" s="91" t="str">
        <f ca="1">IFERROR(__xludf.DUMMYFUNCTION("""COMPUTED_VALUE"""),"778")</f>
        <v>778</v>
      </c>
      <c r="H19" s="92">
        <f ca="1">IFERROR(__xludf.DUMMYFUNCTION("""COMPUTED_VALUE"""),780)</f>
        <v>780</v>
      </c>
      <c r="I19" s="98">
        <f t="shared" ca="1" si="0"/>
        <v>823</v>
      </c>
      <c r="J19" s="99"/>
      <c r="K19" s="91">
        <f t="shared" ca="1" si="2"/>
        <v>205.75</v>
      </c>
      <c r="L19" s="91">
        <f t="shared" ca="1" si="3"/>
        <v>274.33333333333331</v>
      </c>
      <c r="M19" s="90" t="b">
        <v>1</v>
      </c>
    </row>
    <row r="20" spans="1:14">
      <c r="A20" s="91" t="str">
        <f ca="1">IFERROR(__xludf.DUMMYFUNCTION("""COMPUTED_VALUE"""),"ACTIVIDAD 1.16")</f>
        <v>ACTIVIDAD 1.16</v>
      </c>
      <c r="B20" s="94" t="str">
        <f ca="1">IFERROR(__xludf.DUMMYFUNCTION("""COMPUTED_VALUE"""),"Niñas y niños en condición de vulnerabilidad económica que terminaron ciclo escolar de nivel preescolar en 2023")</f>
        <v>Niñas y niños en condición de vulnerabilidad económica que terminaron ciclo escolar de nivel preescolar en 2023</v>
      </c>
      <c r="C20" s="91" t="str">
        <f ca="1">IFERROR(__xludf.DUMMYFUNCTION("""COMPUTED_VALUE"""),"Porcentaje")</f>
        <v>Porcentaje</v>
      </c>
      <c r="D20" s="91">
        <f ca="1">IFERROR(__xludf.DUMMYFUNCTION("""COMPUTED_VALUE"""),0)</f>
        <v>0</v>
      </c>
      <c r="E20" s="91">
        <f ca="1">IFERROR(__xludf.DUMMYFUNCTION("""COMPUTED_VALUE"""),0)</f>
        <v>0</v>
      </c>
      <c r="F20" s="91">
        <f ca="1">IFERROR(__xludf.DUMMYFUNCTION("""COMPUTED_VALUE"""),0)</f>
        <v>0</v>
      </c>
      <c r="G20" s="91" t="str">
        <f ca="1">IFERROR(__xludf.DUMMYFUNCTION("""COMPUTED_VALUE"""),"103.1%")</f>
        <v>103.1%</v>
      </c>
      <c r="H20" s="92">
        <f ca="1">IFERROR(__xludf.DUMMYFUNCTION("""COMPUTED_VALUE"""),2030)</f>
        <v>2030</v>
      </c>
      <c r="I20" s="98">
        <f t="shared" ca="1" si="0"/>
        <v>0</v>
      </c>
      <c r="J20" s="99">
        <f t="shared" ref="J20:J27" ca="1" si="4">I20/H20</f>
        <v>0</v>
      </c>
      <c r="M20" s="90" t="b">
        <v>1</v>
      </c>
    </row>
    <row r="21" spans="1:14">
      <c r="A21" s="91" t="str">
        <f ca="1">IFERROR(__xludf.DUMMYFUNCTION("""COMPUTED_VALUE"""),"ACTIVIDAD 1.17")</f>
        <v>ACTIVIDAD 1.17</v>
      </c>
      <c r="B21" s="94" t="str">
        <f ca="1">IFERROR(__xludf.DUMMYFUNCTION("""COMPUTED_VALUE""")," Grupos de preescolar activos en CDC en 2023")</f>
        <v xml:space="preserve"> Grupos de preescolar activos en CDC en 2023</v>
      </c>
      <c r="C21" s="91" t="str">
        <f ca="1">IFERROR(__xludf.DUMMYFUNCTION("""COMPUTED_VALUE"""),"Porcentaje")</f>
        <v>Porcentaje</v>
      </c>
      <c r="D21" s="91">
        <f ca="1">IFERROR(__xludf.DUMMYFUNCTION("""COMPUTED_VALUE"""),99)</f>
        <v>99</v>
      </c>
      <c r="E21" s="91">
        <f ca="1">IFERROR(__xludf.DUMMYFUNCTION("""COMPUTED_VALUE"""),99)</f>
        <v>99</v>
      </c>
      <c r="F21" s="91">
        <f ca="1">IFERROR(__xludf.DUMMYFUNCTION("""COMPUTED_VALUE"""),99)</f>
        <v>99</v>
      </c>
      <c r="G21" s="91" t="str">
        <f ca="1">IFERROR(__xludf.DUMMYFUNCTION("""COMPUTED_VALUE"""),"100%")</f>
        <v>100%</v>
      </c>
      <c r="H21" s="92">
        <f ca="1">IFERROR(__xludf.DUMMYFUNCTION("""COMPUTED_VALUE"""),1188)</f>
        <v>1188</v>
      </c>
      <c r="I21" s="98">
        <f t="shared" ca="1" si="0"/>
        <v>297</v>
      </c>
      <c r="J21" s="99">
        <f t="shared" ca="1" si="4"/>
        <v>0.25</v>
      </c>
      <c r="M21" s="90" t="b">
        <v>1</v>
      </c>
    </row>
    <row r="22" spans="1:14">
      <c r="A22" s="91" t="str">
        <f ca="1">IFERROR(__xludf.DUMMYFUNCTION("""COMPUTED_VALUE"""),"COMPONENTE 2")</f>
        <v>COMPONENTE 2</v>
      </c>
      <c r="B22" s="94" t="str">
        <f ca="1">IFERROR(__xludf.DUMMYFUNCTION("""COMPUTED_VALUE"""),"Apoyos asistenciales entregados a población en situación de emergencia, durante el 2023")</f>
        <v>Apoyos asistenciales entregados a población en situación de emergencia, durante el 2023</v>
      </c>
      <c r="C22" s="91" t="str">
        <f ca="1">IFERROR(__xludf.DUMMYFUNCTION("""COMPUTED_VALUE"""),"Porcentaje")</f>
        <v>Porcentaje</v>
      </c>
      <c r="D22" s="91"/>
      <c r="E22" s="91">
        <f ca="1">IFERROR(__xludf.DUMMYFUNCTION("""COMPUTED_VALUE"""),0)</f>
        <v>0</v>
      </c>
      <c r="F22" s="91">
        <f ca="1">IFERROR(__xludf.DUMMYFUNCTION("""COMPUTED_VALUE"""),0)</f>
        <v>0</v>
      </c>
      <c r="G22" s="91" t="str">
        <f ca="1">IFERROR(__xludf.DUMMYFUNCTION("""COMPUTED_VALUE"""),"113.4%")</f>
        <v>113.4%</v>
      </c>
      <c r="H22" s="92">
        <f ca="1">IFERROR(__xludf.DUMMYFUNCTION("""COMPUTED_VALUE"""),5000)</f>
        <v>5000</v>
      </c>
      <c r="I22" s="98">
        <f t="shared" ca="1" si="0"/>
        <v>0</v>
      </c>
      <c r="J22" s="99">
        <f t="shared" ca="1" si="4"/>
        <v>0</v>
      </c>
      <c r="M22" s="90" t="b">
        <v>1</v>
      </c>
      <c r="N22" s="90" t="s">
        <v>345</v>
      </c>
    </row>
    <row r="23" spans="1:14">
      <c r="A23" s="91" t="str">
        <f ca="1">IFERROR(__xludf.DUMMYFUNCTION("""COMPUTED_VALUE"""),"ACTIVIDAD 2.1")</f>
        <v>ACTIVIDAD 2.1</v>
      </c>
      <c r="B23" s="94" t="str">
        <f ca="1">IFERROR(__xludf.DUMMYFUNCTION("""COMPUTED_VALUE"""),"Capacitaciones brindadas a la población abierta y población en condiciones de emergencias, durante el 2023")</f>
        <v>Capacitaciones brindadas a la población abierta y población en condiciones de emergencias, durante el 2023</v>
      </c>
      <c r="C23" s="91" t="str">
        <f ca="1">IFERROR(__xludf.DUMMYFUNCTION("""COMPUTED_VALUE"""),"Porcentaje")</f>
        <v>Porcentaje</v>
      </c>
      <c r="D23" s="91">
        <f ca="1">IFERROR(__xludf.DUMMYFUNCTION("""COMPUTED_VALUE"""),7)</f>
        <v>7</v>
      </c>
      <c r="E23" s="91">
        <f ca="1">IFERROR(__xludf.DUMMYFUNCTION("""COMPUTED_VALUE"""),0)</f>
        <v>0</v>
      </c>
      <c r="F23" s="91">
        <f ca="1">IFERROR(__xludf.DUMMYFUNCTION("""COMPUTED_VALUE"""),1)</f>
        <v>1</v>
      </c>
      <c r="G23" s="91" t="str">
        <f ca="1">IFERROR(__xludf.DUMMYFUNCTION("""COMPUTED_VALUE"""),"285.7%")</f>
        <v>285.7%</v>
      </c>
      <c r="H23" s="92">
        <f ca="1">IFERROR(__xludf.DUMMYFUNCTION("""COMPUTED_VALUE"""),7)</f>
        <v>7</v>
      </c>
      <c r="I23" s="98">
        <f t="shared" ca="1" si="0"/>
        <v>8</v>
      </c>
      <c r="J23" s="99">
        <f t="shared" ca="1" si="4"/>
        <v>1.1428571428571428</v>
      </c>
      <c r="M23" s="90" t="b">
        <v>1</v>
      </c>
    </row>
    <row r="24" spans="1:14">
      <c r="A24" s="91" t="str">
        <f ca="1">IFERROR(__xludf.DUMMYFUNCTION("""COMPUTED_VALUE"""),"COMPONENTE 3")</f>
        <v>COMPONENTE 3</v>
      </c>
      <c r="B24" s="94" t="str">
        <f ca="1">IFERROR(__xludf.DUMMYFUNCTION("""COMPUTED_VALUE"""),"Atenciones multidisciplinarias realizadas a las personas que viven y/o ejercer violencia familiar en el municipio de Guadalajara, durante el 2023")</f>
        <v>Atenciones multidisciplinarias realizadas a las personas que viven y/o ejercer violencia familiar en el municipio de Guadalajara, durante el 2023</v>
      </c>
      <c r="C24" s="91" t="str">
        <f ca="1">IFERROR(__xludf.DUMMYFUNCTION("""COMPUTED_VALUE"""),"Porcentaje")</f>
        <v>Porcentaje</v>
      </c>
      <c r="D24" s="91">
        <f ca="1">IFERROR(__xludf.DUMMYFUNCTION("""COMPUTED_VALUE"""),49)</f>
        <v>49</v>
      </c>
      <c r="E24" s="91">
        <f ca="1">IFERROR(__xludf.DUMMYFUNCTION("""COMPUTED_VALUE"""),113)</f>
        <v>113</v>
      </c>
      <c r="F24" s="91">
        <f ca="1">IFERROR(__xludf.DUMMYFUNCTION("""COMPUTED_VALUE"""),107)</f>
        <v>107</v>
      </c>
      <c r="G24" s="91" t="str">
        <f ca="1">IFERROR(__xludf.DUMMYFUNCTION("""COMPUTED_VALUE"""),"100.8%")</f>
        <v>100.8%</v>
      </c>
      <c r="H24" s="92">
        <f ca="1">IFERROR(__xludf.DUMMYFUNCTION("""COMPUTED_VALUE"""),1100)</f>
        <v>1100</v>
      </c>
      <c r="I24" s="98">
        <f t="shared" ca="1" si="0"/>
        <v>269</v>
      </c>
      <c r="J24" s="99">
        <f t="shared" ca="1" si="4"/>
        <v>0.24454545454545454</v>
      </c>
      <c r="M24" s="90" t="b">
        <v>1</v>
      </c>
    </row>
    <row r="25" spans="1:14">
      <c r="A25" s="91" t="str">
        <f ca="1">IFERROR(__xludf.DUMMYFUNCTION("""COMPUTED_VALUE"""),"ACTIVIDAD 3.1")</f>
        <v>ACTIVIDAD 3.1</v>
      </c>
      <c r="B25" s="94" t="str">
        <f ca="1">IFERROR(__xludf.DUMMYFUNCTION("""COMPUTED_VALUE"""),"Aperturas de expedientes para la atención multidisciplinaria primaria realizadas a las personas que viven y/o ejercen violencia familiar en el Municipio de Guadalajara, durante el 2023")</f>
        <v>Aperturas de expedientes para la atención multidisciplinaria primaria realizadas a las personas que viven y/o ejercen violencia familiar en el Municipio de Guadalajara, durante el 2023</v>
      </c>
      <c r="C25" s="91" t="str">
        <f ca="1">IFERROR(__xludf.DUMMYFUNCTION("""COMPUTED_VALUE"""),"Porcentaje")</f>
        <v>Porcentaje</v>
      </c>
      <c r="D25" s="91">
        <f ca="1">IFERROR(__xludf.DUMMYFUNCTION("""COMPUTED_VALUE"""),30)</f>
        <v>30</v>
      </c>
      <c r="E25" s="91">
        <f ca="1">IFERROR(__xludf.DUMMYFUNCTION("""COMPUTED_VALUE"""),85)</f>
        <v>85</v>
      </c>
      <c r="F25" s="91">
        <f ca="1">IFERROR(__xludf.DUMMYFUNCTION("""COMPUTED_VALUE"""),68)</f>
        <v>68</v>
      </c>
      <c r="G25" s="91" t="str">
        <f ca="1">IFERROR(__xludf.DUMMYFUNCTION("""COMPUTED_VALUE"""),"107%")</f>
        <v>107%</v>
      </c>
      <c r="H25" s="92">
        <f ca="1">IFERROR(__xludf.DUMMYFUNCTION("""COMPUTED_VALUE"""),700)</f>
        <v>700</v>
      </c>
      <c r="I25" s="98">
        <f t="shared" ca="1" si="0"/>
        <v>183</v>
      </c>
      <c r="J25" s="99">
        <f t="shared" ca="1" si="4"/>
        <v>0.26142857142857145</v>
      </c>
      <c r="M25" s="90" t="b">
        <v>1</v>
      </c>
    </row>
    <row r="26" spans="1:14">
      <c r="A26" s="91" t="str">
        <f ca="1">IFERROR(__xludf.DUMMYFUNCTION("""COMPUTED_VALUE"""),"ACTIVIDAD 3.2")</f>
        <v>ACTIVIDAD 3.2</v>
      </c>
      <c r="B26" s="94" t="str">
        <f ca="1">IFERROR(__xludf.DUMMYFUNCTION("""COMPUTED_VALUE"""),"Intervención multidisciplinaria de seguimiento a expedientes activos, durante el 2023")</f>
        <v>Intervención multidisciplinaria de seguimiento a expedientes activos, durante el 2023</v>
      </c>
      <c r="C26" s="91" t="str">
        <f ca="1">IFERROR(__xludf.DUMMYFUNCTION("""COMPUTED_VALUE"""),"Porcentaje")</f>
        <v>Porcentaje</v>
      </c>
      <c r="D26" s="91">
        <f ca="1">IFERROR(__xludf.DUMMYFUNCTION("""COMPUTED_VALUE"""),19)</f>
        <v>19</v>
      </c>
      <c r="E26" s="91">
        <f ca="1">IFERROR(__xludf.DUMMYFUNCTION("""COMPUTED_VALUE"""),28)</f>
        <v>28</v>
      </c>
      <c r="F26" s="91">
        <f ca="1">IFERROR(__xludf.DUMMYFUNCTION("""COMPUTED_VALUE"""),39)</f>
        <v>39</v>
      </c>
      <c r="G26" s="91" t="str">
        <f ca="1">IFERROR(__xludf.DUMMYFUNCTION("""COMPUTED_VALUE"""),"88.5%")</f>
        <v>88.5%</v>
      </c>
      <c r="H26" s="92">
        <f ca="1">IFERROR(__xludf.DUMMYFUNCTION("""COMPUTED_VALUE"""),400)</f>
        <v>400</v>
      </c>
      <c r="I26" s="98">
        <f t="shared" ca="1" si="0"/>
        <v>86</v>
      </c>
      <c r="J26" s="99">
        <f t="shared" ca="1" si="4"/>
        <v>0.215</v>
      </c>
      <c r="M26" s="90" t="b">
        <v>1</v>
      </c>
    </row>
    <row r="27" spans="1:14">
      <c r="A27" s="91" t="str">
        <f ca="1">IFERROR(__xludf.DUMMYFUNCTION("""COMPUTED_VALUE"""),"COMPONENTE 4")</f>
        <v>COMPONENTE 4</v>
      </c>
      <c r="B27" s="94" t="str">
        <f ca="1">IFERROR(__xludf.DUMMYFUNCTION("""COMPUTED_VALUE"""),"Implementación de sesiones grupales de acompañamiento psicosocial y psicoeducativo para las personas usuarias del Programa de Acompañar las Ausencias, durante el 2023")</f>
        <v>Implementación de sesiones grupales de acompañamiento psicosocial y psicoeducativo para las personas usuarias del Programa de Acompañar las Ausencias, durante el 2023</v>
      </c>
      <c r="C27" s="91" t="str">
        <f ca="1">IFERROR(__xludf.DUMMYFUNCTION("""COMPUTED_VALUE"""),"Porcentaje")</f>
        <v>Porcentaje</v>
      </c>
      <c r="D27" s="91">
        <f ca="1">IFERROR(__xludf.DUMMYFUNCTION("""COMPUTED_VALUE"""),0)</f>
        <v>0</v>
      </c>
      <c r="E27" s="91">
        <f ca="1">IFERROR(__xludf.DUMMYFUNCTION("""COMPUTED_VALUE"""),1)</f>
        <v>1</v>
      </c>
      <c r="F27" s="91">
        <f ca="1">IFERROR(__xludf.DUMMYFUNCTION("""COMPUTED_VALUE"""),1)</f>
        <v>1</v>
      </c>
      <c r="G27" s="91" t="str">
        <f ca="1">IFERROR(__xludf.DUMMYFUNCTION("""COMPUTED_VALUE"""),"91.7%")</f>
        <v>91.7%</v>
      </c>
      <c r="H27" s="92">
        <f ca="1">IFERROR(__xludf.DUMMYFUNCTION("""COMPUTED_VALUE"""),12)</f>
        <v>12</v>
      </c>
      <c r="I27" s="98">
        <f t="shared" ca="1" si="0"/>
        <v>2</v>
      </c>
      <c r="J27" s="99">
        <f t="shared" ca="1" si="4"/>
        <v>0.16666666666666666</v>
      </c>
      <c r="M27" s="90" t="b">
        <v>1</v>
      </c>
    </row>
    <row r="28" spans="1:14">
      <c r="A28" s="91" t="str">
        <f ca="1">IFERROR(__xludf.DUMMYFUNCTION("""COMPUTED_VALUE"""),"ACTIVIDAD 4.1")</f>
        <v>ACTIVIDAD 4.1</v>
      </c>
      <c r="B28" s="94" t="str">
        <f ca="1">IFERROR(__xludf.DUMMYFUNCTION("""COMPUTED_VALUE"""),"Acompañamientos psicosociales para familiares de víctimas indirectas de desaparición brindadas, durante el 2023")</f>
        <v>Acompañamientos psicosociales para familiares de víctimas indirectas de desaparición brindadas, durante el 2023</v>
      </c>
      <c r="C28" s="91" t="str">
        <f ca="1">IFERROR(__xludf.DUMMYFUNCTION("""COMPUTED_VALUE"""),"Promedio")</f>
        <v>Promedio</v>
      </c>
      <c r="D28" s="91">
        <f ca="1">IFERROR(__xludf.DUMMYFUNCTION("""COMPUTED_VALUE"""),109)</f>
        <v>109</v>
      </c>
      <c r="E28" s="91">
        <f ca="1">IFERROR(__xludf.DUMMYFUNCTION("""COMPUTED_VALUE"""),112)</f>
        <v>112</v>
      </c>
      <c r="F28" s="91">
        <f ca="1">IFERROR(__xludf.DUMMYFUNCTION("""COMPUTED_VALUE"""),114)</f>
        <v>114</v>
      </c>
      <c r="G28" s="91" t="str">
        <f ca="1">IFERROR(__xludf.DUMMYFUNCTION("""COMPUTED_VALUE"""),"330")</f>
        <v>330</v>
      </c>
      <c r="H28" s="92">
        <f ca="1">IFERROR(__xludf.DUMMYFUNCTION("""COMPUTED_VALUE"""),330)</f>
        <v>330</v>
      </c>
      <c r="I28" s="98">
        <f t="shared" ca="1" si="0"/>
        <v>335</v>
      </c>
      <c r="J28" s="99"/>
      <c r="K28" s="91">
        <f ca="1">I28/4</f>
        <v>83.75</v>
      </c>
      <c r="L28" s="91">
        <f ca="1">I28/3</f>
        <v>111.66666666666667</v>
      </c>
      <c r="M28" s="90" t="b">
        <v>1</v>
      </c>
    </row>
    <row r="29" spans="1:14">
      <c r="A29" s="91" t="str">
        <f ca="1">IFERROR(__xludf.DUMMYFUNCTION("""COMPUTED_VALUE"""),"ACTIVIDAD 4.2")</f>
        <v>ACTIVIDAD 4.2</v>
      </c>
      <c r="B29" s="94" t="str">
        <f ca="1">IFERROR(__xludf.DUMMYFUNCTION("""COMPUTED_VALUE"""),"A2C4. Familiares de personas desaparcidas atendidas por el programa de Acompañar las Ausencias")</f>
        <v>A2C4. Familiares de personas desaparcidas atendidas por el programa de Acompañar las Ausencias</v>
      </c>
      <c r="C29" s="91" t="str">
        <f ca="1">IFERROR(__xludf.DUMMYFUNCTION("""COMPUTED_VALUE"""),"Porcentaje")</f>
        <v>Porcentaje</v>
      </c>
      <c r="D29" s="91">
        <f ca="1">IFERROR(__xludf.DUMMYFUNCTION("""COMPUTED_VALUE"""),0)</f>
        <v>0</v>
      </c>
      <c r="E29" s="91">
        <f ca="1">IFERROR(__xludf.DUMMYFUNCTION("""COMPUTED_VALUE"""),191)</f>
        <v>191</v>
      </c>
      <c r="F29" s="91">
        <f ca="1">IFERROR(__xludf.DUMMYFUNCTION("""COMPUTED_VALUE"""),118)</f>
        <v>118</v>
      </c>
      <c r="G29" s="91" t="str">
        <f ca="1">IFERROR(__xludf.DUMMYFUNCTION("""COMPUTED_VALUE"""),"103.9%")</f>
        <v>103.9%</v>
      </c>
      <c r="H29" s="92">
        <f ca="1">IFERROR(__xludf.DUMMYFUNCTION("""COMPUTED_VALUE"""),1800)</f>
        <v>1800</v>
      </c>
      <c r="I29" s="98">
        <f t="shared" ca="1" si="0"/>
        <v>309</v>
      </c>
      <c r="J29" s="99">
        <f ca="1">I29/H29</f>
        <v>0.17166666666666666</v>
      </c>
      <c r="M29" s="90" t="b">
        <v>1</v>
      </c>
    </row>
    <row r="30" spans="1:14">
      <c r="B30" s="94"/>
    </row>
    <row r="31" spans="1:14">
      <c r="B31" s="94"/>
    </row>
    <row r="32" spans="1:14">
      <c r="B32" s="94"/>
    </row>
    <row r="33" spans="2:2">
      <c r="B33" s="94"/>
    </row>
    <row r="34" spans="2:2">
      <c r="B34" s="94"/>
    </row>
    <row r="35" spans="2:2">
      <c r="B35" s="94"/>
    </row>
    <row r="36" spans="2:2">
      <c r="B36" s="94"/>
    </row>
    <row r="37" spans="2:2">
      <c r="B37" s="94"/>
    </row>
    <row r="38" spans="2:2">
      <c r="B38" s="94"/>
    </row>
    <row r="39" spans="2:2">
      <c r="B39" s="94"/>
    </row>
    <row r="40" spans="2:2">
      <c r="B40" s="94"/>
    </row>
    <row r="41" spans="2:2">
      <c r="B41" s="94"/>
    </row>
    <row r="42" spans="2:2">
      <c r="B42" s="94"/>
    </row>
    <row r="43" spans="2:2">
      <c r="B43" s="94"/>
    </row>
    <row r="44" spans="2:2">
      <c r="B44" s="94"/>
    </row>
    <row r="45" spans="2:2">
      <c r="B45" s="94"/>
    </row>
    <row r="46" spans="2:2">
      <c r="B46" s="94"/>
    </row>
    <row r="47" spans="2:2">
      <c r="B47" s="94"/>
    </row>
    <row r="48" spans="2:2">
      <c r="B48" s="94"/>
    </row>
    <row r="49" spans="2:2">
      <c r="B49" s="94"/>
    </row>
    <row r="50" spans="2:2">
      <c r="B50" s="94"/>
    </row>
    <row r="51" spans="2:2">
      <c r="B51" s="94"/>
    </row>
    <row r="52" spans="2:2">
      <c r="B52" s="94"/>
    </row>
    <row r="53" spans="2:2">
      <c r="B53" s="94"/>
    </row>
    <row r="54" spans="2:2">
      <c r="B54" s="94"/>
    </row>
    <row r="55" spans="2:2">
      <c r="B55" s="94"/>
    </row>
    <row r="56" spans="2:2">
      <c r="B56" s="94"/>
    </row>
    <row r="57" spans="2:2">
      <c r="B57" s="94"/>
    </row>
    <row r="58" spans="2:2">
      <c r="B58" s="94"/>
    </row>
    <row r="59" spans="2:2">
      <c r="B59" s="94"/>
    </row>
    <row r="60" spans="2:2">
      <c r="B60" s="94"/>
    </row>
    <row r="61" spans="2:2">
      <c r="B61" s="94"/>
    </row>
    <row r="62" spans="2:2">
      <c r="B62" s="94"/>
    </row>
    <row r="63" spans="2:2">
      <c r="B63" s="94"/>
    </row>
    <row r="64" spans="2:2">
      <c r="B64" s="94"/>
    </row>
    <row r="65" spans="2:2">
      <c r="B65" s="94"/>
    </row>
    <row r="66" spans="2:2">
      <c r="B66" s="94"/>
    </row>
    <row r="67" spans="2:2">
      <c r="B67" s="94"/>
    </row>
    <row r="68" spans="2:2">
      <c r="B68" s="94"/>
    </row>
    <row r="69" spans="2:2">
      <c r="B69" s="94"/>
    </row>
    <row r="70" spans="2:2">
      <c r="B70" s="94"/>
    </row>
    <row r="71" spans="2:2">
      <c r="B71" s="94"/>
    </row>
    <row r="72" spans="2:2">
      <c r="B72" s="94"/>
    </row>
    <row r="73" spans="2:2">
      <c r="B73" s="94"/>
    </row>
    <row r="74" spans="2:2">
      <c r="B74" s="94"/>
    </row>
    <row r="75" spans="2:2">
      <c r="B75" s="94"/>
    </row>
    <row r="76" spans="2:2">
      <c r="B76" s="94"/>
    </row>
    <row r="77" spans="2:2">
      <c r="B77" s="94"/>
    </row>
    <row r="78" spans="2:2">
      <c r="B78" s="94"/>
    </row>
    <row r="79" spans="2:2">
      <c r="B79" s="94"/>
    </row>
    <row r="80" spans="2:2">
      <c r="B80" s="94"/>
    </row>
    <row r="81" spans="2:2">
      <c r="B81" s="94"/>
    </row>
    <row r="82" spans="2:2">
      <c r="B82" s="94"/>
    </row>
    <row r="83" spans="2:2">
      <c r="B83" s="94"/>
    </row>
    <row r="84" spans="2:2">
      <c r="B84" s="94"/>
    </row>
    <row r="85" spans="2:2">
      <c r="B85" s="94"/>
    </row>
    <row r="86" spans="2:2">
      <c r="B86" s="94"/>
    </row>
    <row r="87" spans="2:2">
      <c r="B87" s="94"/>
    </row>
    <row r="88" spans="2:2">
      <c r="B88" s="94"/>
    </row>
    <row r="89" spans="2:2">
      <c r="B89" s="94"/>
    </row>
    <row r="90" spans="2:2">
      <c r="B90" s="94"/>
    </row>
    <row r="91" spans="2:2">
      <c r="B91" s="94"/>
    </row>
    <row r="92" spans="2:2">
      <c r="B92" s="94"/>
    </row>
    <row r="93" spans="2:2">
      <c r="B93" s="94"/>
    </row>
    <row r="94" spans="2:2">
      <c r="B94" s="94"/>
    </row>
    <row r="95" spans="2:2">
      <c r="B95" s="94"/>
    </row>
    <row r="96" spans="2:2">
      <c r="B96" s="94"/>
    </row>
    <row r="97" spans="2:2">
      <c r="B97" s="94"/>
    </row>
    <row r="98" spans="2:2">
      <c r="B98" s="94"/>
    </row>
    <row r="99" spans="2:2">
      <c r="B99" s="94"/>
    </row>
    <row r="100" spans="2:2">
      <c r="B100" s="94"/>
    </row>
    <row r="101" spans="2:2">
      <c r="B101" s="94"/>
    </row>
    <row r="102" spans="2:2">
      <c r="B102" s="94"/>
    </row>
    <row r="103" spans="2:2">
      <c r="B103" s="94"/>
    </row>
    <row r="104" spans="2:2">
      <c r="B104" s="94"/>
    </row>
    <row r="105" spans="2:2">
      <c r="B105" s="94"/>
    </row>
    <row r="106" spans="2:2">
      <c r="B106" s="94"/>
    </row>
    <row r="107" spans="2:2">
      <c r="B107" s="94"/>
    </row>
    <row r="108" spans="2:2">
      <c r="B108" s="94"/>
    </row>
    <row r="109" spans="2:2">
      <c r="B109" s="94"/>
    </row>
    <row r="110" spans="2:2">
      <c r="B110" s="94"/>
    </row>
    <row r="111" spans="2:2">
      <c r="B111" s="94"/>
    </row>
    <row r="112" spans="2:2">
      <c r="B112" s="94"/>
    </row>
    <row r="113" spans="2:2">
      <c r="B113" s="94"/>
    </row>
    <row r="114" spans="2:2">
      <c r="B114" s="94"/>
    </row>
    <row r="115" spans="2:2">
      <c r="B115" s="94"/>
    </row>
    <row r="116" spans="2:2">
      <c r="B116" s="94"/>
    </row>
    <row r="117" spans="2:2">
      <c r="B117" s="94"/>
    </row>
    <row r="118" spans="2:2">
      <c r="B118" s="94"/>
    </row>
    <row r="119" spans="2:2">
      <c r="B119" s="94"/>
    </row>
    <row r="120" spans="2:2">
      <c r="B120" s="94"/>
    </row>
    <row r="121" spans="2:2">
      <c r="B121" s="94"/>
    </row>
    <row r="122" spans="2:2">
      <c r="B122" s="94"/>
    </row>
    <row r="123" spans="2:2">
      <c r="B123" s="94"/>
    </row>
    <row r="124" spans="2:2">
      <c r="B124" s="94"/>
    </row>
    <row r="125" spans="2:2">
      <c r="B125" s="94"/>
    </row>
    <row r="126" spans="2:2">
      <c r="B126" s="94"/>
    </row>
    <row r="127" spans="2:2">
      <c r="B127" s="94"/>
    </row>
    <row r="128" spans="2:2">
      <c r="B128" s="94"/>
    </row>
    <row r="129" spans="2:2">
      <c r="B129" s="94"/>
    </row>
    <row r="130" spans="2:2">
      <c r="B130" s="94"/>
    </row>
    <row r="131" spans="2:2">
      <c r="B131" s="94"/>
    </row>
    <row r="132" spans="2:2">
      <c r="B132" s="94"/>
    </row>
    <row r="133" spans="2:2">
      <c r="B133" s="94"/>
    </row>
    <row r="134" spans="2:2">
      <c r="B134" s="94"/>
    </row>
    <row r="135" spans="2:2">
      <c r="B135" s="94"/>
    </row>
    <row r="136" spans="2:2">
      <c r="B136" s="94"/>
    </row>
    <row r="137" spans="2:2">
      <c r="B137" s="94"/>
    </row>
    <row r="138" spans="2:2">
      <c r="B138" s="94"/>
    </row>
    <row r="139" spans="2:2">
      <c r="B139" s="94"/>
    </row>
    <row r="140" spans="2:2">
      <c r="B140" s="94"/>
    </row>
    <row r="141" spans="2:2">
      <c r="B141" s="94"/>
    </row>
    <row r="142" spans="2:2">
      <c r="B142" s="94"/>
    </row>
    <row r="143" spans="2:2">
      <c r="B143" s="94"/>
    </row>
    <row r="144" spans="2:2">
      <c r="B144" s="94"/>
    </row>
    <row r="145" spans="2:2">
      <c r="B145" s="94"/>
    </row>
    <row r="146" spans="2:2">
      <c r="B146" s="94"/>
    </row>
    <row r="147" spans="2:2">
      <c r="B147" s="94"/>
    </row>
    <row r="148" spans="2:2">
      <c r="B148" s="94"/>
    </row>
    <row r="149" spans="2:2">
      <c r="B149" s="94"/>
    </row>
    <row r="150" spans="2:2">
      <c r="B150" s="94"/>
    </row>
    <row r="151" spans="2:2">
      <c r="B151" s="94"/>
    </row>
    <row r="152" spans="2:2">
      <c r="B152" s="94"/>
    </row>
    <row r="153" spans="2:2">
      <c r="B153" s="94"/>
    </row>
    <row r="154" spans="2:2">
      <c r="B154" s="94"/>
    </row>
    <row r="155" spans="2:2">
      <c r="B155" s="94"/>
    </row>
    <row r="156" spans="2:2">
      <c r="B156" s="94"/>
    </row>
    <row r="157" spans="2:2">
      <c r="B157" s="94"/>
    </row>
    <row r="158" spans="2:2">
      <c r="B158" s="94"/>
    </row>
    <row r="159" spans="2:2">
      <c r="B159" s="94"/>
    </row>
    <row r="160" spans="2:2">
      <c r="B160" s="94"/>
    </row>
    <row r="161" spans="2:2">
      <c r="B161" s="94"/>
    </row>
    <row r="162" spans="2:2">
      <c r="B162" s="94"/>
    </row>
    <row r="163" spans="2:2">
      <c r="B163" s="94"/>
    </row>
    <row r="164" spans="2:2">
      <c r="B164" s="94"/>
    </row>
    <row r="165" spans="2:2">
      <c r="B165" s="94"/>
    </row>
    <row r="166" spans="2:2">
      <c r="B166" s="94"/>
    </row>
    <row r="167" spans="2:2">
      <c r="B167" s="94"/>
    </row>
    <row r="168" spans="2:2">
      <c r="B168" s="94"/>
    </row>
    <row r="169" spans="2:2">
      <c r="B169" s="94"/>
    </row>
    <row r="170" spans="2:2">
      <c r="B170" s="94"/>
    </row>
    <row r="171" spans="2:2">
      <c r="B171" s="94"/>
    </row>
    <row r="172" spans="2:2">
      <c r="B172" s="94"/>
    </row>
    <row r="173" spans="2:2">
      <c r="B173" s="94"/>
    </row>
    <row r="174" spans="2:2">
      <c r="B174" s="94"/>
    </row>
    <row r="175" spans="2:2">
      <c r="B175" s="94"/>
    </row>
    <row r="176" spans="2:2">
      <c r="B176" s="94"/>
    </row>
    <row r="177" spans="2:2">
      <c r="B177" s="94"/>
    </row>
    <row r="178" spans="2:2">
      <c r="B178" s="94"/>
    </row>
    <row r="179" spans="2:2">
      <c r="B179" s="94"/>
    </row>
    <row r="180" spans="2:2">
      <c r="B180" s="94"/>
    </row>
    <row r="181" spans="2:2">
      <c r="B181" s="94"/>
    </row>
    <row r="182" spans="2:2">
      <c r="B182" s="94"/>
    </row>
    <row r="183" spans="2:2">
      <c r="B183" s="94"/>
    </row>
    <row r="184" spans="2:2">
      <c r="B184" s="94"/>
    </row>
    <row r="185" spans="2:2">
      <c r="B185" s="94"/>
    </row>
    <row r="186" spans="2:2">
      <c r="B186" s="94"/>
    </row>
    <row r="187" spans="2:2">
      <c r="B187" s="94"/>
    </row>
    <row r="188" spans="2:2">
      <c r="B188" s="94"/>
    </row>
    <row r="189" spans="2:2">
      <c r="B189" s="94"/>
    </row>
    <row r="190" spans="2:2">
      <c r="B190" s="94"/>
    </row>
    <row r="191" spans="2:2">
      <c r="B191" s="94"/>
    </row>
    <row r="192" spans="2:2">
      <c r="B192" s="94"/>
    </row>
    <row r="193" spans="2:2">
      <c r="B193" s="94"/>
    </row>
    <row r="194" spans="2:2">
      <c r="B194" s="94"/>
    </row>
    <row r="195" spans="2:2">
      <c r="B195" s="94"/>
    </row>
    <row r="196" spans="2:2">
      <c r="B196" s="94"/>
    </row>
    <row r="197" spans="2:2">
      <c r="B197" s="94"/>
    </row>
    <row r="198" spans="2:2">
      <c r="B198" s="94"/>
    </row>
    <row r="199" spans="2:2">
      <c r="B199" s="94"/>
    </row>
    <row r="200" spans="2:2">
      <c r="B200" s="94"/>
    </row>
    <row r="201" spans="2:2">
      <c r="B201" s="94"/>
    </row>
    <row r="202" spans="2:2">
      <c r="B202" s="94"/>
    </row>
    <row r="203" spans="2:2">
      <c r="B203" s="94"/>
    </row>
    <row r="204" spans="2:2">
      <c r="B204" s="94"/>
    </row>
    <row r="205" spans="2:2">
      <c r="B205" s="94"/>
    </row>
    <row r="206" spans="2:2">
      <c r="B206" s="94"/>
    </row>
    <row r="207" spans="2:2">
      <c r="B207" s="94"/>
    </row>
    <row r="208" spans="2:2">
      <c r="B208" s="94"/>
    </row>
    <row r="209" spans="2:2">
      <c r="B209" s="94"/>
    </row>
    <row r="210" spans="2:2">
      <c r="B210" s="94"/>
    </row>
    <row r="211" spans="2:2">
      <c r="B211" s="94"/>
    </row>
    <row r="212" spans="2:2">
      <c r="B212" s="94"/>
    </row>
    <row r="213" spans="2:2">
      <c r="B213" s="94"/>
    </row>
    <row r="214" spans="2:2">
      <c r="B214" s="94"/>
    </row>
    <row r="215" spans="2:2">
      <c r="B215" s="94"/>
    </row>
    <row r="216" spans="2:2">
      <c r="B216" s="94"/>
    </row>
    <row r="217" spans="2:2">
      <c r="B217" s="94"/>
    </row>
    <row r="218" spans="2:2">
      <c r="B218" s="94"/>
    </row>
    <row r="219" spans="2:2">
      <c r="B219" s="94"/>
    </row>
    <row r="220" spans="2:2">
      <c r="B220" s="94"/>
    </row>
    <row r="221" spans="2:2">
      <c r="B221" s="94"/>
    </row>
    <row r="222" spans="2:2">
      <c r="B222" s="94"/>
    </row>
    <row r="223" spans="2:2">
      <c r="B223" s="94"/>
    </row>
    <row r="224" spans="2:2">
      <c r="B224" s="94"/>
    </row>
    <row r="225" spans="2:2">
      <c r="B225" s="94"/>
    </row>
    <row r="226" spans="2:2">
      <c r="B226" s="94"/>
    </row>
    <row r="227" spans="2:2">
      <c r="B227" s="94"/>
    </row>
    <row r="228" spans="2:2">
      <c r="B228" s="94"/>
    </row>
    <row r="229" spans="2:2">
      <c r="B229" s="94"/>
    </row>
    <row r="230" spans="2:2">
      <c r="B230" s="94"/>
    </row>
    <row r="231" spans="2:2">
      <c r="B231" s="94"/>
    </row>
    <row r="232" spans="2:2">
      <c r="B232" s="94"/>
    </row>
    <row r="233" spans="2:2">
      <c r="B233" s="94"/>
    </row>
    <row r="234" spans="2:2">
      <c r="B234" s="94"/>
    </row>
    <row r="235" spans="2:2">
      <c r="B235" s="94"/>
    </row>
    <row r="236" spans="2:2">
      <c r="B236" s="94"/>
    </row>
    <row r="237" spans="2:2">
      <c r="B237" s="94"/>
    </row>
    <row r="238" spans="2:2">
      <c r="B238" s="94"/>
    </row>
    <row r="239" spans="2:2">
      <c r="B239" s="94"/>
    </row>
    <row r="240" spans="2:2">
      <c r="B240" s="94"/>
    </row>
    <row r="241" spans="2:2">
      <c r="B241" s="94"/>
    </row>
    <row r="242" spans="2:2">
      <c r="B242" s="94"/>
    </row>
    <row r="243" spans="2:2">
      <c r="B243" s="94"/>
    </row>
    <row r="244" spans="2:2">
      <c r="B244" s="94"/>
    </row>
    <row r="245" spans="2:2">
      <c r="B245" s="94"/>
    </row>
    <row r="246" spans="2:2">
      <c r="B246" s="94"/>
    </row>
    <row r="247" spans="2:2">
      <c r="B247" s="94"/>
    </row>
    <row r="248" spans="2:2">
      <c r="B248" s="94"/>
    </row>
    <row r="249" spans="2:2">
      <c r="B249" s="94"/>
    </row>
    <row r="250" spans="2:2">
      <c r="B250" s="94"/>
    </row>
    <row r="251" spans="2:2">
      <c r="B251" s="94"/>
    </row>
    <row r="252" spans="2:2">
      <c r="B252" s="94"/>
    </row>
    <row r="253" spans="2:2">
      <c r="B253" s="94"/>
    </row>
    <row r="254" spans="2:2">
      <c r="B254" s="94"/>
    </row>
    <row r="255" spans="2:2">
      <c r="B255" s="94"/>
    </row>
    <row r="256" spans="2:2">
      <c r="B256" s="94"/>
    </row>
    <row r="257" spans="2:2">
      <c r="B257" s="94"/>
    </row>
    <row r="258" spans="2:2">
      <c r="B258" s="94"/>
    </row>
    <row r="259" spans="2:2">
      <c r="B259" s="94"/>
    </row>
    <row r="260" spans="2:2">
      <c r="B260" s="94"/>
    </row>
    <row r="261" spans="2:2">
      <c r="B261" s="94"/>
    </row>
    <row r="262" spans="2:2">
      <c r="B262" s="94"/>
    </row>
    <row r="263" spans="2:2">
      <c r="B263" s="94"/>
    </row>
    <row r="264" spans="2:2">
      <c r="B264" s="94"/>
    </row>
    <row r="265" spans="2:2">
      <c r="B265" s="94"/>
    </row>
    <row r="266" spans="2:2">
      <c r="B266" s="94"/>
    </row>
    <row r="267" spans="2:2">
      <c r="B267" s="94"/>
    </row>
    <row r="268" spans="2:2">
      <c r="B268" s="94"/>
    </row>
    <row r="269" spans="2:2">
      <c r="B269" s="94"/>
    </row>
    <row r="270" spans="2:2">
      <c r="B270" s="94"/>
    </row>
    <row r="271" spans="2:2">
      <c r="B271" s="94"/>
    </row>
    <row r="272" spans="2:2">
      <c r="B272" s="94"/>
    </row>
    <row r="273" spans="2:2">
      <c r="B273" s="94"/>
    </row>
    <row r="274" spans="2:2">
      <c r="B274" s="94"/>
    </row>
    <row r="275" spans="2:2">
      <c r="B275" s="94"/>
    </row>
    <row r="276" spans="2:2">
      <c r="B276" s="94"/>
    </row>
    <row r="277" spans="2:2">
      <c r="B277" s="94"/>
    </row>
    <row r="278" spans="2:2">
      <c r="B278" s="94"/>
    </row>
    <row r="279" spans="2:2">
      <c r="B279" s="94"/>
    </row>
    <row r="280" spans="2:2">
      <c r="B280" s="94"/>
    </row>
    <row r="281" spans="2:2">
      <c r="B281" s="94"/>
    </row>
    <row r="282" spans="2:2">
      <c r="B282" s="94"/>
    </row>
    <row r="283" spans="2:2">
      <c r="B283" s="94"/>
    </row>
    <row r="284" spans="2:2">
      <c r="B284" s="94"/>
    </row>
    <row r="285" spans="2:2">
      <c r="B285" s="94"/>
    </row>
    <row r="286" spans="2:2">
      <c r="B286" s="94"/>
    </row>
    <row r="287" spans="2:2">
      <c r="B287" s="94"/>
    </row>
    <row r="288" spans="2:2">
      <c r="B288" s="94"/>
    </row>
    <row r="289" spans="2:2">
      <c r="B289" s="94"/>
    </row>
    <row r="290" spans="2:2">
      <c r="B290" s="94"/>
    </row>
    <row r="291" spans="2:2">
      <c r="B291" s="94"/>
    </row>
    <row r="292" spans="2:2">
      <c r="B292" s="94"/>
    </row>
    <row r="293" spans="2:2">
      <c r="B293" s="94"/>
    </row>
    <row r="294" spans="2:2">
      <c r="B294" s="94"/>
    </row>
    <row r="295" spans="2:2">
      <c r="B295" s="94"/>
    </row>
    <row r="296" spans="2:2">
      <c r="B296" s="94"/>
    </row>
    <row r="297" spans="2:2">
      <c r="B297" s="94"/>
    </row>
    <row r="298" spans="2:2">
      <c r="B298" s="94"/>
    </row>
    <row r="299" spans="2:2">
      <c r="B299" s="94"/>
    </row>
    <row r="300" spans="2:2">
      <c r="B300" s="94"/>
    </row>
    <row r="301" spans="2:2">
      <c r="B301" s="94"/>
    </row>
    <row r="302" spans="2:2">
      <c r="B302" s="94"/>
    </row>
    <row r="303" spans="2:2">
      <c r="B303" s="94"/>
    </row>
    <row r="304" spans="2:2">
      <c r="B304" s="94"/>
    </row>
    <row r="305" spans="2:2">
      <c r="B305" s="94"/>
    </row>
    <row r="306" spans="2:2">
      <c r="B306" s="94"/>
    </row>
    <row r="307" spans="2:2">
      <c r="B307" s="94"/>
    </row>
    <row r="308" spans="2:2">
      <c r="B308" s="94"/>
    </row>
    <row r="309" spans="2:2">
      <c r="B309" s="94"/>
    </row>
    <row r="310" spans="2:2">
      <c r="B310" s="94"/>
    </row>
    <row r="311" spans="2:2">
      <c r="B311" s="94"/>
    </row>
    <row r="312" spans="2:2">
      <c r="B312" s="94"/>
    </row>
    <row r="313" spans="2:2">
      <c r="B313" s="94"/>
    </row>
    <row r="314" spans="2:2">
      <c r="B314" s="94"/>
    </row>
    <row r="315" spans="2:2">
      <c r="B315" s="94"/>
    </row>
    <row r="316" spans="2:2">
      <c r="B316" s="94"/>
    </row>
    <row r="317" spans="2:2">
      <c r="B317" s="94"/>
    </row>
    <row r="318" spans="2:2">
      <c r="B318" s="94"/>
    </row>
    <row r="319" spans="2:2">
      <c r="B319" s="94"/>
    </row>
    <row r="320" spans="2:2">
      <c r="B320" s="94"/>
    </row>
    <row r="321" spans="2:2">
      <c r="B321" s="94"/>
    </row>
    <row r="322" spans="2:2">
      <c r="B322" s="94"/>
    </row>
    <row r="323" spans="2:2">
      <c r="B323" s="94"/>
    </row>
    <row r="324" spans="2:2">
      <c r="B324" s="94"/>
    </row>
    <row r="325" spans="2:2">
      <c r="B325" s="94"/>
    </row>
    <row r="326" spans="2:2">
      <c r="B326" s="94"/>
    </row>
    <row r="327" spans="2:2">
      <c r="B327" s="94"/>
    </row>
    <row r="328" spans="2:2">
      <c r="B328" s="94"/>
    </row>
    <row r="329" spans="2:2">
      <c r="B329" s="94"/>
    </row>
    <row r="330" spans="2:2">
      <c r="B330" s="94"/>
    </row>
    <row r="331" spans="2:2">
      <c r="B331" s="94"/>
    </row>
    <row r="332" spans="2:2">
      <c r="B332" s="94"/>
    </row>
    <row r="333" spans="2:2">
      <c r="B333" s="94"/>
    </row>
    <row r="334" spans="2:2">
      <c r="B334" s="94"/>
    </row>
    <row r="335" spans="2:2">
      <c r="B335" s="94"/>
    </row>
    <row r="336" spans="2:2">
      <c r="B336" s="94"/>
    </row>
    <row r="337" spans="2:2">
      <c r="B337" s="94"/>
    </row>
    <row r="338" spans="2:2">
      <c r="B338" s="94"/>
    </row>
    <row r="339" spans="2:2">
      <c r="B339" s="94"/>
    </row>
    <row r="340" spans="2:2">
      <c r="B340" s="94"/>
    </row>
    <row r="341" spans="2:2">
      <c r="B341" s="94"/>
    </row>
    <row r="342" spans="2:2">
      <c r="B342" s="94"/>
    </row>
    <row r="343" spans="2:2">
      <c r="B343" s="94"/>
    </row>
    <row r="344" spans="2:2">
      <c r="B344" s="94"/>
    </row>
    <row r="345" spans="2:2">
      <c r="B345" s="94"/>
    </row>
    <row r="346" spans="2:2">
      <c r="B346" s="94"/>
    </row>
    <row r="347" spans="2:2">
      <c r="B347" s="94"/>
    </row>
    <row r="348" spans="2:2">
      <c r="B348" s="94"/>
    </row>
    <row r="349" spans="2:2">
      <c r="B349" s="94"/>
    </row>
    <row r="350" spans="2:2">
      <c r="B350" s="94"/>
    </row>
    <row r="351" spans="2:2">
      <c r="B351" s="94"/>
    </row>
    <row r="352" spans="2:2">
      <c r="B352" s="94"/>
    </row>
    <row r="353" spans="2:2">
      <c r="B353" s="94"/>
    </row>
    <row r="354" spans="2:2">
      <c r="B354" s="94"/>
    </row>
    <row r="355" spans="2:2">
      <c r="B355" s="94"/>
    </row>
    <row r="356" spans="2:2">
      <c r="B356" s="94"/>
    </row>
    <row r="357" spans="2:2">
      <c r="B357" s="94"/>
    </row>
    <row r="358" spans="2:2">
      <c r="B358" s="94"/>
    </row>
    <row r="359" spans="2:2">
      <c r="B359" s="94"/>
    </row>
    <row r="360" spans="2:2">
      <c r="B360" s="94"/>
    </row>
    <row r="361" spans="2:2">
      <c r="B361" s="94"/>
    </row>
    <row r="362" spans="2:2">
      <c r="B362" s="94"/>
    </row>
    <row r="363" spans="2:2">
      <c r="B363" s="94"/>
    </row>
    <row r="364" spans="2:2">
      <c r="B364" s="94"/>
    </row>
    <row r="365" spans="2:2">
      <c r="B365" s="94"/>
    </row>
    <row r="366" spans="2:2">
      <c r="B366" s="94"/>
    </row>
    <row r="367" spans="2:2">
      <c r="B367" s="94"/>
    </row>
    <row r="368" spans="2:2">
      <c r="B368" s="94"/>
    </row>
    <row r="369" spans="2:2">
      <c r="B369" s="94"/>
    </row>
    <row r="370" spans="2:2">
      <c r="B370" s="94"/>
    </row>
    <row r="371" spans="2:2">
      <c r="B371" s="94"/>
    </row>
    <row r="372" spans="2:2">
      <c r="B372" s="94"/>
    </row>
    <row r="373" spans="2:2">
      <c r="B373" s="94"/>
    </row>
    <row r="374" spans="2:2">
      <c r="B374" s="94"/>
    </row>
    <row r="375" spans="2:2">
      <c r="B375" s="94"/>
    </row>
    <row r="376" spans="2:2">
      <c r="B376" s="94"/>
    </row>
    <row r="377" spans="2:2">
      <c r="B377" s="94"/>
    </row>
    <row r="378" spans="2:2">
      <c r="B378" s="94"/>
    </row>
    <row r="379" spans="2:2">
      <c r="B379" s="94"/>
    </row>
    <row r="380" spans="2:2">
      <c r="B380" s="94"/>
    </row>
    <row r="381" spans="2:2">
      <c r="B381" s="94"/>
    </row>
    <row r="382" spans="2:2">
      <c r="B382" s="94"/>
    </row>
    <row r="383" spans="2:2">
      <c r="B383" s="94"/>
    </row>
    <row r="384" spans="2:2">
      <c r="B384" s="94"/>
    </row>
    <row r="385" spans="2:2">
      <c r="B385" s="94"/>
    </row>
    <row r="386" spans="2:2">
      <c r="B386" s="94"/>
    </row>
    <row r="387" spans="2:2">
      <c r="B387" s="94"/>
    </row>
    <row r="388" spans="2:2">
      <c r="B388" s="94"/>
    </row>
    <row r="389" spans="2:2">
      <c r="B389" s="94"/>
    </row>
    <row r="390" spans="2:2">
      <c r="B390" s="94"/>
    </row>
    <row r="391" spans="2:2">
      <c r="B391" s="94"/>
    </row>
    <row r="392" spans="2:2">
      <c r="B392" s="94"/>
    </row>
    <row r="393" spans="2:2">
      <c r="B393" s="94"/>
    </row>
    <row r="394" spans="2:2">
      <c r="B394" s="94"/>
    </row>
    <row r="395" spans="2:2">
      <c r="B395" s="94"/>
    </row>
    <row r="396" spans="2:2">
      <c r="B396" s="94"/>
    </row>
    <row r="397" spans="2:2">
      <c r="B397" s="94"/>
    </row>
    <row r="398" spans="2:2">
      <c r="B398" s="94"/>
    </row>
    <row r="399" spans="2:2">
      <c r="B399" s="94"/>
    </row>
    <row r="400" spans="2:2">
      <c r="B400" s="94"/>
    </row>
    <row r="401" spans="2:2">
      <c r="B401" s="94"/>
    </row>
    <row r="402" spans="2:2">
      <c r="B402" s="94"/>
    </row>
    <row r="403" spans="2:2">
      <c r="B403" s="94"/>
    </row>
    <row r="404" spans="2:2">
      <c r="B404" s="94"/>
    </row>
    <row r="405" spans="2:2">
      <c r="B405" s="94"/>
    </row>
    <row r="406" spans="2:2">
      <c r="B406" s="94"/>
    </row>
    <row r="407" spans="2:2">
      <c r="B407" s="94"/>
    </row>
    <row r="408" spans="2:2">
      <c r="B408" s="94"/>
    </row>
    <row r="409" spans="2:2">
      <c r="B409" s="94"/>
    </row>
    <row r="410" spans="2:2">
      <c r="B410" s="94"/>
    </row>
    <row r="411" spans="2:2">
      <c r="B411" s="94"/>
    </row>
    <row r="412" spans="2:2">
      <c r="B412" s="94"/>
    </row>
    <row r="413" spans="2:2">
      <c r="B413" s="94"/>
    </row>
    <row r="414" spans="2:2">
      <c r="B414" s="94"/>
    </row>
    <row r="415" spans="2:2">
      <c r="B415" s="94"/>
    </row>
    <row r="416" spans="2:2">
      <c r="B416" s="94"/>
    </row>
    <row r="417" spans="2:2">
      <c r="B417" s="94"/>
    </row>
    <row r="418" spans="2:2">
      <c r="B418" s="94"/>
    </row>
    <row r="419" spans="2:2">
      <c r="B419" s="94"/>
    </row>
    <row r="420" spans="2:2">
      <c r="B420" s="94"/>
    </row>
    <row r="421" spans="2:2">
      <c r="B421" s="94"/>
    </row>
    <row r="422" spans="2:2">
      <c r="B422" s="94"/>
    </row>
    <row r="423" spans="2:2">
      <c r="B423" s="94"/>
    </row>
    <row r="424" spans="2:2">
      <c r="B424" s="94"/>
    </row>
    <row r="425" spans="2:2">
      <c r="B425" s="94"/>
    </row>
    <row r="426" spans="2:2">
      <c r="B426" s="94"/>
    </row>
    <row r="427" spans="2:2">
      <c r="B427" s="94"/>
    </row>
    <row r="428" spans="2:2">
      <c r="B428" s="94"/>
    </row>
    <row r="429" spans="2:2">
      <c r="B429" s="94"/>
    </row>
    <row r="430" spans="2:2">
      <c r="B430" s="94"/>
    </row>
    <row r="431" spans="2:2">
      <c r="B431" s="94"/>
    </row>
    <row r="432" spans="2:2">
      <c r="B432" s="94"/>
    </row>
    <row r="433" spans="2:2">
      <c r="B433" s="94"/>
    </row>
    <row r="434" spans="2:2">
      <c r="B434" s="94"/>
    </row>
    <row r="435" spans="2:2">
      <c r="B435" s="94"/>
    </row>
    <row r="436" spans="2:2">
      <c r="B436" s="94"/>
    </row>
    <row r="437" spans="2:2">
      <c r="B437" s="94"/>
    </row>
    <row r="438" spans="2:2">
      <c r="B438" s="94"/>
    </row>
    <row r="439" spans="2:2">
      <c r="B439" s="94"/>
    </row>
    <row r="440" spans="2:2">
      <c r="B440" s="94"/>
    </row>
    <row r="441" spans="2:2">
      <c r="B441" s="94"/>
    </row>
    <row r="442" spans="2:2">
      <c r="B442" s="94"/>
    </row>
    <row r="443" spans="2:2">
      <c r="B443" s="94"/>
    </row>
    <row r="444" spans="2:2">
      <c r="B444" s="94"/>
    </row>
    <row r="445" spans="2:2">
      <c r="B445" s="94"/>
    </row>
    <row r="446" spans="2:2">
      <c r="B446" s="94"/>
    </row>
    <row r="447" spans="2:2">
      <c r="B447" s="94"/>
    </row>
    <row r="448" spans="2:2">
      <c r="B448" s="94"/>
    </row>
    <row r="449" spans="2:2">
      <c r="B449" s="94"/>
    </row>
    <row r="450" spans="2:2">
      <c r="B450" s="94"/>
    </row>
    <row r="451" spans="2:2">
      <c r="B451" s="94"/>
    </row>
    <row r="452" spans="2:2">
      <c r="B452" s="94"/>
    </row>
    <row r="453" spans="2:2">
      <c r="B453" s="94"/>
    </row>
    <row r="454" spans="2:2">
      <c r="B454" s="94"/>
    </row>
    <row r="455" spans="2:2">
      <c r="B455" s="94"/>
    </row>
    <row r="456" spans="2:2">
      <c r="B456" s="94"/>
    </row>
    <row r="457" spans="2:2">
      <c r="B457" s="94"/>
    </row>
    <row r="458" spans="2:2">
      <c r="B458" s="94"/>
    </row>
    <row r="459" spans="2:2">
      <c r="B459" s="94"/>
    </row>
    <row r="460" spans="2:2">
      <c r="B460" s="94"/>
    </row>
    <row r="461" spans="2:2">
      <c r="B461" s="94"/>
    </row>
    <row r="462" spans="2:2">
      <c r="B462" s="94"/>
    </row>
    <row r="463" spans="2:2">
      <c r="B463" s="94"/>
    </row>
    <row r="464" spans="2:2">
      <c r="B464" s="94"/>
    </row>
    <row r="465" spans="2:2">
      <c r="B465" s="94"/>
    </row>
    <row r="466" spans="2:2">
      <c r="B466" s="94"/>
    </row>
    <row r="467" spans="2:2">
      <c r="B467" s="94"/>
    </row>
    <row r="468" spans="2:2">
      <c r="B468" s="94"/>
    </row>
    <row r="469" spans="2:2">
      <c r="B469" s="94"/>
    </row>
    <row r="470" spans="2:2">
      <c r="B470" s="94"/>
    </row>
    <row r="471" spans="2:2">
      <c r="B471" s="94"/>
    </row>
    <row r="472" spans="2:2">
      <c r="B472" s="94"/>
    </row>
    <row r="473" spans="2:2">
      <c r="B473" s="94"/>
    </row>
    <row r="474" spans="2:2">
      <c r="B474" s="94"/>
    </row>
    <row r="475" spans="2:2">
      <c r="B475" s="94"/>
    </row>
    <row r="476" spans="2:2">
      <c r="B476" s="94"/>
    </row>
    <row r="477" spans="2:2">
      <c r="B477" s="94"/>
    </row>
    <row r="478" spans="2:2">
      <c r="B478" s="94"/>
    </row>
    <row r="479" spans="2:2">
      <c r="B479" s="94"/>
    </row>
    <row r="480" spans="2:2">
      <c r="B480" s="94"/>
    </row>
    <row r="481" spans="2:2">
      <c r="B481" s="94"/>
    </row>
    <row r="482" spans="2:2">
      <c r="B482" s="94"/>
    </row>
    <row r="483" spans="2:2">
      <c r="B483" s="94"/>
    </row>
    <row r="484" spans="2:2">
      <c r="B484" s="94"/>
    </row>
    <row r="485" spans="2:2">
      <c r="B485" s="94"/>
    </row>
    <row r="486" spans="2:2">
      <c r="B486" s="94"/>
    </row>
    <row r="487" spans="2:2">
      <c r="B487" s="94"/>
    </row>
    <row r="488" spans="2:2">
      <c r="B488" s="94"/>
    </row>
    <row r="489" spans="2:2">
      <c r="B489" s="94"/>
    </row>
    <row r="490" spans="2:2">
      <c r="B490" s="94"/>
    </row>
    <row r="491" spans="2:2">
      <c r="B491" s="94"/>
    </row>
    <row r="492" spans="2:2">
      <c r="B492" s="94"/>
    </row>
    <row r="493" spans="2:2">
      <c r="B493" s="94"/>
    </row>
    <row r="494" spans="2:2">
      <c r="B494" s="94"/>
    </row>
    <row r="495" spans="2:2">
      <c r="B495" s="94"/>
    </row>
    <row r="496" spans="2:2">
      <c r="B496" s="94"/>
    </row>
    <row r="497" spans="2:2">
      <c r="B497" s="94"/>
    </row>
    <row r="498" spans="2:2">
      <c r="B498" s="94"/>
    </row>
    <row r="499" spans="2:2">
      <c r="B499" s="94"/>
    </row>
    <row r="500" spans="2:2">
      <c r="B500" s="94"/>
    </row>
    <row r="501" spans="2:2">
      <c r="B501" s="94"/>
    </row>
    <row r="502" spans="2:2">
      <c r="B502" s="94"/>
    </row>
    <row r="503" spans="2:2">
      <c r="B503" s="94"/>
    </row>
    <row r="504" spans="2:2">
      <c r="B504" s="94"/>
    </row>
    <row r="505" spans="2:2">
      <c r="B505" s="94"/>
    </row>
    <row r="506" spans="2:2">
      <c r="B506" s="94"/>
    </row>
    <row r="507" spans="2:2">
      <c r="B507" s="94"/>
    </row>
    <row r="508" spans="2:2">
      <c r="B508" s="94"/>
    </row>
    <row r="509" spans="2:2">
      <c r="B509" s="94"/>
    </row>
    <row r="510" spans="2:2">
      <c r="B510" s="94"/>
    </row>
    <row r="511" spans="2:2">
      <c r="B511" s="94"/>
    </row>
    <row r="512" spans="2:2">
      <c r="B512" s="94"/>
    </row>
    <row r="513" spans="2:2">
      <c r="B513" s="94"/>
    </row>
    <row r="514" spans="2:2">
      <c r="B514" s="94"/>
    </row>
    <row r="515" spans="2:2">
      <c r="B515" s="94"/>
    </row>
    <row r="516" spans="2:2">
      <c r="B516" s="94"/>
    </row>
    <row r="517" spans="2:2">
      <c r="B517" s="94"/>
    </row>
    <row r="518" spans="2:2">
      <c r="B518" s="94"/>
    </row>
    <row r="519" spans="2:2">
      <c r="B519" s="94"/>
    </row>
    <row r="520" spans="2:2">
      <c r="B520" s="94"/>
    </row>
    <row r="521" spans="2:2">
      <c r="B521" s="94"/>
    </row>
    <row r="522" spans="2:2">
      <c r="B522" s="94"/>
    </row>
    <row r="523" spans="2:2">
      <c r="B523" s="94"/>
    </row>
    <row r="524" spans="2:2">
      <c r="B524" s="94"/>
    </row>
    <row r="525" spans="2:2">
      <c r="B525" s="94"/>
    </row>
    <row r="526" spans="2:2">
      <c r="B526" s="94"/>
    </row>
    <row r="527" spans="2:2">
      <c r="B527" s="94"/>
    </row>
    <row r="528" spans="2:2">
      <c r="B528" s="94"/>
    </row>
    <row r="529" spans="2:2">
      <c r="B529" s="94"/>
    </row>
    <row r="530" spans="2:2">
      <c r="B530" s="94"/>
    </row>
    <row r="531" spans="2:2">
      <c r="B531" s="94"/>
    </row>
    <row r="532" spans="2:2">
      <c r="B532" s="94"/>
    </row>
    <row r="533" spans="2:2">
      <c r="B533" s="94"/>
    </row>
    <row r="534" spans="2:2">
      <c r="B534" s="94"/>
    </row>
    <row r="535" spans="2:2">
      <c r="B535" s="94"/>
    </row>
    <row r="536" spans="2:2">
      <c r="B536" s="94"/>
    </row>
    <row r="537" spans="2:2">
      <c r="B537" s="94"/>
    </row>
    <row r="538" spans="2:2">
      <c r="B538" s="94"/>
    </row>
    <row r="539" spans="2:2">
      <c r="B539" s="94"/>
    </row>
    <row r="540" spans="2:2">
      <c r="B540" s="94"/>
    </row>
    <row r="541" spans="2:2">
      <c r="B541" s="94"/>
    </row>
    <row r="542" spans="2:2">
      <c r="B542" s="94"/>
    </row>
    <row r="543" spans="2:2">
      <c r="B543" s="94"/>
    </row>
    <row r="544" spans="2:2">
      <c r="B544" s="94"/>
    </row>
    <row r="545" spans="2:2">
      <c r="B545" s="94"/>
    </row>
    <row r="546" spans="2:2">
      <c r="B546" s="94"/>
    </row>
    <row r="547" spans="2:2">
      <c r="B547" s="94"/>
    </row>
    <row r="548" spans="2:2">
      <c r="B548" s="94"/>
    </row>
    <row r="549" spans="2:2">
      <c r="B549" s="94"/>
    </row>
    <row r="550" spans="2:2">
      <c r="B550" s="94"/>
    </row>
    <row r="551" spans="2:2">
      <c r="B551" s="94"/>
    </row>
    <row r="552" spans="2:2">
      <c r="B552" s="94"/>
    </row>
    <row r="553" spans="2:2">
      <c r="B553" s="94"/>
    </row>
    <row r="554" spans="2:2">
      <c r="B554" s="94"/>
    </row>
    <row r="555" spans="2:2">
      <c r="B555" s="94"/>
    </row>
    <row r="556" spans="2:2">
      <c r="B556" s="94"/>
    </row>
    <row r="557" spans="2:2">
      <c r="B557" s="94"/>
    </row>
    <row r="558" spans="2:2">
      <c r="B558" s="94"/>
    </row>
    <row r="559" spans="2:2">
      <c r="B559" s="94"/>
    </row>
    <row r="560" spans="2:2">
      <c r="B560" s="94"/>
    </row>
    <row r="561" spans="2:2">
      <c r="B561" s="94"/>
    </row>
    <row r="562" spans="2:2">
      <c r="B562" s="94"/>
    </row>
    <row r="563" spans="2:2">
      <c r="B563" s="94"/>
    </row>
    <row r="564" spans="2:2">
      <c r="B564" s="94"/>
    </row>
    <row r="565" spans="2:2">
      <c r="B565" s="94"/>
    </row>
    <row r="566" spans="2:2">
      <c r="B566" s="94"/>
    </row>
    <row r="567" spans="2:2">
      <c r="B567" s="94"/>
    </row>
    <row r="568" spans="2:2">
      <c r="B568" s="94"/>
    </row>
    <row r="569" spans="2:2">
      <c r="B569" s="94"/>
    </row>
    <row r="570" spans="2:2">
      <c r="B570" s="94"/>
    </row>
    <row r="571" spans="2:2">
      <c r="B571" s="94"/>
    </row>
    <row r="572" spans="2:2">
      <c r="B572" s="94"/>
    </row>
    <row r="573" spans="2:2">
      <c r="B573" s="94"/>
    </row>
    <row r="574" spans="2:2">
      <c r="B574" s="94"/>
    </row>
    <row r="575" spans="2:2">
      <c r="B575" s="94"/>
    </row>
    <row r="576" spans="2:2">
      <c r="B576" s="94"/>
    </row>
    <row r="577" spans="2:2">
      <c r="B577" s="94"/>
    </row>
    <row r="578" spans="2:2">
      <c r="B578" s="94"/>
    </row>
    <row r="579" spans="2:2">
      <c r="B579" s="94"/>
    </row>
    <row r="580" spans="2:2">
      <c r="B580" s="94"/>
    </row>
    <row r="581" spans="2:2">
      <c r="B581" s="94"/>
    </row>
    <row r="582" spans="2:2">
      <c r="B582" s="94"/>
    </row>
    <row r="583" spans="2:2">
      <c r="B583" s="94"/>
    </row>
    <row r="584" spans="2:2">
      <c r="B584" s="94"/>
    </row>
    <row r="585" spans="2:2">
      <c r="B585" s="94"/>
    </row>
    <row r="586" spans="2:2">
      <c r="B586" s="94"/>
    </row>
    <row r="587" spans="2:2">
      <c r="B587" s="94"/>
    </row>
    <row r="588" spans="2:2">
      <c r="B588" s="94"/>
    </row>
    <row r="589" spans="2:2">
      <c r="B589" s="94"/>
    </row>
    <row r="590" spans="2:2">
      <c r="B590" s="94"/>
    </row>
    <row r="591" spans="2:2">
      <c r="B591" s="94"/>
    </row>
    <row r="592" spans="2:2">
      <c r="B592" s="94"/>
    </row>
    <row r="593" spans="2:2">
      <c r="B593" s="94"/>
    </row>
    <row r="594" spans="2:2">
      <c r="B594" s="94"/>
    </row>
    <row r="595" spans="2:2">
      <c r="B595" s="94"/>
    </row>
    <row r="596" spans="2:2">
      <c r="B596" s="94"/>
    </row>
    <row r="597" spans="2:2">
      <c r="B597" s="94"/>
    </row>
    <row r="598" spans="2:2">
      <c r="B598" s="94"/>
    </row>
    <row r="599" spans="2:2">
      <c r="B599" s="94"/>
    </row>
    <row r="600" spans="2:2">
      <c r="B600" s="94"/>
    </row>
    <row r="601" spans="2:2">
      <c r="B601" s="94"/>
    </row>
    <row r="602" spans="2:2">
      <c r="B602" s="94"/>
    </row>
    <row r="603" spans="2:2">
      <c r="B603" s="94"/>
    </row>
    <row r="604" spans="2:2">
      <c r="B604" s="94"/>
    </row>
    <row r="605" spans="2:2">
      <c r="B605" s="94"/>
    </row>
    <row r="606" spans="2:2">
      <c r="B606" s="94"/>
    </row>
    <row r="607" spans="2:2">
      <c r="B607" s="94"/>
    </row>
    <row r="608" spans="2:2">
      <c r="B608" s="94"/>
    </row>
    <row r="609" spans="2:2">
      <c r="B609" s="94"/>
    </row>
    <row r="610" spans="2:2">
      <c r="B610" s="94"/>
    </row>
    <row r="611" spans="2:2">
      <c r="B611" s="94"/>
    </row>
    <row r="612" spans="2:2">
      <c r="B612" s="94"/>
    </row>
    <row r="613" spans="2:2">
      <c r="B613" s="94"/>
    </row>
    <row r="614" spans="2:2">
      <c r="B614" s="94"/>
    </row>
    <row r="615" spans="2:2">
      <c r="B615" s="94"/>
    </row>
    <row r="616" spans="2:2">
      <c r="B616" s="94"/>
    </row>
    <row r="617" spans="2:2">
      <c r="B617" s="94"/>
    </row>
    <row r="618" spans="2:2">
      <c r="B618" s="94"/>
    </row>
    <row r="619" spans="2:2">
      <c r="B619" s="94"/>
    </row>
    <row r="620" spans="2:2">
      <c r="B620" s="94"/>
    </row>
    <row r="621" spans="2:2">
      <c r="B621" s="94"/>
    </row>
    <row r="622" spans="2:2">
      <c r="B622" s="94"/>
    </row>
    <row r="623" spans="2:2">
      <c r="B623" s="94"/>
    </row>
    <row r="624" spans="2:2">
      <c r="B624" s="94"/>
    </row>
    <row r="625" spans="2:2">
      <c r="B625" s="94"/>
    </row>
    <row r="626" spans="2:2">
      <c r="B626" s="94"/>
    </row>
    <row r="627" spans="2:2">
      <c r="B627" s="94"/>
    </row>
    <row r="628" spans="2:2">
      <c r="B628" s="94"/>
    </row>
    <row r="629" spans="2:2">
      <c r="B629" s="94"/>
    </row>
    <row r="630" spans="2:2">
      <c r="B630" s="94"/>
    </row>
    <row r="631" spans="2:2">
      <c r="B631" s="94"/>
    </row>
    <row r="632" spans="2:2">
      <c r="B632" s="94"/>
    </row>
    <row r="633" spans="2:2">
      <c r="B633" s="94"/>
    </row>
    <row r="634" spans="2:2">
      <c r="B634" s="94"/>
    </row>
    <row r="635" spans="2:2">
      <c r="B635" s="94"/>
    </row>
    <row r="636" spans="2:2">
      <c r="B636" s="94"/>
    </row>
    <row r="637" spans="2:2">
      <c r="B637" s="94"/>
    </row>
    <row r="638" spans="2:2">
      <c r="B638" s="94"/>
    </row>
    <row r="639" spans="2:2">
      <c r="B639" s="94"/>
    </row>
    <row r="640" spans="2:2">
      <c r="B640" s="94"/>
    </row>
    <row r="641" spans="2:2">
      <c r="B641" s="94"/>
    </row>
    <row r="642" spans="2:2">
      <c r="B642" s="94"/>
    </row>
    <row r="643" spans="2:2">
      <c r="B643" s="94"/>
    </row>
    <row r="644" spans="2:2">
      <c r="B644" s="94"/>
    </row>
    <row r="645" spans="2:2">
      <c r="B645" s="94"/>
    </row>
    <row r="646" spans="2:2">
      <c r="B646" s="94"/>
    </row>
    <row r="647" spans="2:2">
      <c r="B647" s="94"/>
    </row>
    <row r="648" spans="2:2">
      <c r="B648" s="94"/>
    </row>
    <row r="649" spans="2:2">
      <c r="B649" s="94"/>
    </row>
    <row r="650" spans="2:2">
      <c r="B650" s="94"/>
    </row>
    <row r="651" spans="2:2">
      <c r="B651" s="94"/>
    </row>
    <row r="652" spans="2:2">
      <c r="B652" s="94"/>
    </row>
    <row r="653" spans="2:2">
      <c r="B653" s="94"/>
    </row>
    <row r="654" spans="2:2">
      <c r="B654" s="94"/>
    </row>
    <row r="655" spans="2:2">
      <c r="B655" s="94"/>
    </row>
    <row r="656" spans="2:2">
      <c r="B656" s="94"/>
    </row>
    <row r="657" spans="2:2">
      <c r="B657" s="94"/>
    </row>
    <row r="658" spans="2:2">
      <c r="B658" s="94"/>
    </row>
    <row r="659" spans="2:2">
      <c r="B659" s="94"/>
    </row>
    <row r="660" spans="2:2">
      <c r="B660" s="94"/>
    </row>
    <row r="661" spans="2:2">
      <c r="B661" s="94"/>
    </row>
    <row r="662" spans="2:2">
      <c r="B662" s="94"/>
    </row>
    <row r="663" spans="2:2">
      <c r="B663" s="94"/>
    </row>
    <row r="664" spans="2:2">
      <c r="B664" s="94"/>
    </row>
    <row r="665" spans="2:2">
      <c r="B665" s="94"/>
    </row>
    <row r="666" spans="2:2">
      <c r="B666" s="94"/>
    </row>
    <row r="667" spans="2:2">
      <c r="B667" s="94"/>
    </row>
    <row r="668" spans="2:2">
      <c r="B668" s="94"/>
    </row>
    <row r="669" spans="2:2">
      <c r="B669" s="94"/>
    </row>
    <row r="670" spans="2:2">
      <c r="B670" s="94"/>
    </row>
    <row r="671" spans="2:2">
      <c r="B671" s="94"/>
    </row>
    <row r="672" spans="2:2">
      <c r="B672" s="94"/>
    </row>
    <row r="673" spans="2:2">
      <c r="B673" s="94"/>
    </row>
    <row r="674" spans="2:2">
      <c r="B674" s="94"/>
    </row>
    <row r="675" spans="2:2">
      <c r="B675" s="94"/>
    </row>
    <row r="676" spans="2:2">
      <c r="B676" s="94"/>
    </row>
    <row r="677" spans="2:2">
      <c r="B677" s="94"/>
    </row>
    <row r="678" spans="2:2">
      <c r="B678" s="94"/>
    </row>
    <row r="679" spans="2:2">
      <c r="B679" s="94"/>
    </row>
    <row r="680" spans="2:2">
      <c r="B680" s="94"/>
    </row>
    <row r="681" spans="2:2">
      <c r="B681" s="94"/>
    </row>
    <row r="682" spans="2:2">
      <c r="B682" s="94"/>
    </row>
    <row r="683" spans="2:2">
      <c r="B683" s="94"/>
    </row>
    <row r="684" spans="2:2">
      <c r="B684" s="94"/>
    </row>
    <row r="685" spans="2:2">
      <c r="B685" s="94"/>
    </row>
    <row r="686" spans="2:2">
      <c r="B686" s="94"/>
    </row>
    <row r="687" spans="2:2">
      <c r="B687" s="94"/>
    </row>
    <row r="688" spans="2:2">
      <c r="B688" s="94"/>
    </row>
    <row r="689" spans="2:2">
      <c r="B689" s="94"/>
    </row>
    <row r="690" spans="2:2">
      <c r="B690" s="94"/>
    </row>
    <row r="691" spans="2:2">
      <c r="B691" s="94"/>
    </row>
    <row r="692" spans="2:2">
      <c r="B692" s="94"/>
    </row>
    <row r="693" spans="2:2">
      <c r="B693" s="94"/>
    </row>
    <row r="694" spans="2:2">
      <c r="B694" s="94"/>
    </row>
    <row r="695" spans="2:2">
      <c r="B695" s="94"/>
    </row>
    <row r="696" spans="2:2">
      <c r="B696" s="94"/>
    </row>
    <row r="697" spans="2:2">
      <c r="B697" s="94"/>
    </row>
    <row r="698" spans="2:2">
      <c r="B698" s="94"/>
    </row>
    <row r="699" spans="2:2">
      <c r="B699" s="94"/>
    </row>
    <row r="700" spans="2:2">
      <c r="B700" s="94"/>
    </row>
    <row r="701" spans="2:2">
      <c r="B701" s="94"/>
    </row>
    <row r="702" spans="2:2">
      <c r="B702" s="94"/>
    </row>
    <row r="703" spans="2:2">
      <c r="B703" s="94"/>
    </row>
    <row r="704" spans="2:2">
      <c r="B704" s="94"/>
    </row>
    <row r="705" spans="2:2">
      <c r="B705" s="94"/>
    </row>
    <row r="706" spans="2:2">
      <c r="B706" s="94"/>
    </row>
    <row r="707" spans="2:2">
      <c r="B707" s="94"/>
    </row>
    <row r="708" spans="2:2">
      <c r="B708" s="94"/>
    </row>
    <row r="709" spans="2:2">
      <c r="B709" s="94"/>
    </row>
    <row r="710" spans="2:2">
      <c r="B710" s="94"/>
    </row>
    <row r="711" spans="2:2">
      <c r="B711" s="94"/>
    </row>
    <row r="712" spans="2:2">
      <c r="B712" s="94"/>
    </row>
    <row r="713" spans="2:2">
      <c r="B713" s="94"/>
    </row>
    <row r="714" spans="2:2">
      <c r="B714" s="94"/>
    </row>
    <row r="715" spans="2:2">
      <c r="B715" s="94"/>
    </row>
    <row r="716" spans="2:2">
      <c r="B716" s="94"/>
    </row>
    <row r="717" spans="2:2">
      <c r="B717" s="94"/>
    </row>
    <row r="718" spans="2:2">
      <c r="B718" s="94"/>
    </row>
    <row r="719" spans="2:2">
      <c r="B719" s="94"/>
    </row>
    <row r="720" spans="2:2">
      <c r="B720" s="94"/>
    </row>
    <row r="721" spans="2:2">
      <c r="B721" s="94"/>
    </row>
    <row r="722" spans="2:2">
      <c r="B722" s="94"/>
    </row>
    <row r="723" spans="2:2">
      <c r="B723" s="94"/>
    </row>
    <row r="724" spans="2:2">
      <c r="B724" s="94"/>
    </row>
    <row r="725" spans="2:2">
      <c r="B725" s="94"/>
    </row>
    <row r="726" spans="2:2">
      <c r="B726" s="94"/>
    </row>
    <row r="727" spans="2:2">
      <c r="B727" s="94"/>
    </row>
    <row r="728" spans="2:2">
      <c r="B728" s="94"/>
    </row>
    <row r="729" spans="2:2">
      <c r="B729" s="94"/>
    </row>
    <row r="730" spans="2:2">
      <c r="B730" s="94"/>
    </row>
    <row r="731" spans="2:2">
      <c r="B731" s="94"/>
    </row>
    <row r="732" spans="2:2">
      <c r="B732" s="94"/>
    </row>
    <row r="733" spans="2:2">
      <c r="B733" s="94"/>
    </row>
    <row r="734" spans="2:2">
      <c r="B734" s="94"/>
    </row>
    <row r="735" spans="2:2">
      <c r="B735" s="94"/>
    </row>
    <row r="736" spans="2:2">
      <c r="B736" s="94"/>
    </row>
    <row r="737" spans="2:2">
      <c r="B737" s="94"/>
    </row>
    <row r="738" spans="2:2">
      <c r="B738" s="94"/>
    </row>
    <row r="739" spans="2:2">
      <c r="B739" s="94"/>
    </row>
    <row r="740" spans="2:2">
      <c r="B740" s="94"/>
    </row>
    <row r="741" spans="2:2">
      <c r="B741" s="94"/>
    </row>
    <row r="742" spans="2:2">
      <c r="B742" s="94"/>
    </row>
    <row r="743" spans="2:2">
      <c r="B743" s="94"/>
    </row>
    <row r="744" spans="2:2">
      <c r="B744" s="94"/>
    </row>
    <row r="745" spans="2:2">
      <c r="B745" s="94"/>
    </row>
    <row r="746" spans="2:2">
      <c r="B746" s="94"/>
    </row>
    <row r="747" spans="2:2">
      <c r="B747" s="94"/>
    </row>
    <row r="748" spans="2:2">
      <c r="B748" s="94"/>
    </row>
    <row r="749" spans="2:2">
      <c r="B749" s="94"/>
    </row>
    <row r="750" spans="2:2">
      <c r="B750" s="94"/>
    </row>
    <row r="751" spans="2:2">
      <c r="B751" s="94"/>
    </row>
    <row r="752" spans="2:2">
      <c r="B752" s="94"/>
    </row>
    <row r="753" spans="2:2">
      <c r="B753" s="94"/>
    </row>
    <row r="754" spans="2:2">
      <c r="B754" s="94"/>
    </row>
    <row r="755" spans="2:2">
      <c r="B755" s="94"/>
    </row>
    <row r="756" spans="2:2">
      <c r="B756" s="94"/>
    </row>
    <row r="757" spans="2:2">
      <c r="B757" s="94"/>
    </row>
    <row r="758" spans="2:2">
      <c r="B758" s="94"/>
    </row>
    <row r="759" spans="2:2">
      <c r="B759" s="94"/>
    </row>
    <row r="760" spans="2:2">
      <c r="B760" s="94"/>
    </row>
    <row r="761" spans="2:2">
      <c r="B761" s="94"/>
    </row>
    <row r="762" spans="2:2">
      <c r="B762" s="94"/>
    </row>
    <row r="763" spans="2:2">
      <c r="B763" s="94"/>
    </row>
    <row r="764" spans="2:2">
      <c r="B764" s="94"/>
    </row>
    <row r="765" spans="2:2">
      <c r="B765" s="94"/>
    </row>
    <row r="766" spans="2:2">
      <c r="B766" s="94"/>
    </row>
    <row r="767" spans="2:2">
      <c r="B767" s="94"/>
    </row>
    <row r="768" spans="2:2">
      <c r="B768" s="94"/>
    </row>
    <row r="769" spans="2:2">
      <c r="B769" s="94"/>
    </row>
    <row r="770" spans="2:2">
      <c r="B770" s="94"/>
    </row>
    <row r="771" spans="2:2">
      <c r="B771" s="94"/>
    </row>
    <row r="772" spans="2:2">
      <c r="B772" s="94"/>
    </row>
    <row r="773" spans="2:2">
      <c r="B773" s="94"/>
    </row>
    <row r="774" spans="2:2">
      <c r="B774" s="94"/>
    </row>
    <row r="775" spans="2:2">
      <c r="B775" s="94"/>
    </row>
    <row r="776" spans="2:2">
      <c r="B776" s="94"/>
    </row>
    <row r="777" spans="2:2">
      <c r="B777" s="94"/>
    </row>
    <row r="778" spans="2:2">
      <c r="B778" s="94"/>
    </row>
    <row r="779" spans="2:2">
      <c r="B779" s="94"/>
    </row>
    <row r="780" spans="2:2">
      <c r="B780" s="94"/>
    </row>
    <row r="781" spans="2:2">
      <c r="B781" s="94"/>
    </row>
    <row r="782" spans="2:2">
      <c r="B782" s="94"/>
    </row>
    <row r="783" spans="2:2">
      <c r="B783" s="94"/>
    </row>
    <row r="784" spans="2:2">
      <c r="B784" s="94"/>
    </row>
    <row r="785" spans="2:2">
      <c r="B785" s="94"/>
    </row>
    <row r="786" spans="2:2">
      <c r="B786" s="94"/>
    </row>
    <row r="787" spans="2:2">
      <c r="B787" s="94"/>
    </row>
    <row r="788" spans="2:2">
      <c r="B788" s="94"/>
    </row>
    <row r="789" spans="2:2">
      <c r="B789" s="94"/>
    </row>
    <row r="790" spans="2:2">
      <c r="B790" s="94"/>
    </row>
    <row r="791" spans="2:2">
      <c r="B791" s="94"/>
    </row>
    <row r="792" spans="2:2">
      <c r="B792" s="94"/>
    </row>
    <row r="793" spans="2:2">
      <c r="B793" s="94"/>
    </row>
    <row r="794" spans="2:2">
      <c r="B794" s="94"/>
    </row>
    <row r="795" spans="2:2">
      <c r="B795" s="94"/>
    </row>
    <row r="796" spans="2:2">
      <c r="B796" s="94"/>
    </row>
    <row r="797" spans="2:2">
      <c r="B797" s="94"/>
    </row>
    <row r="798" spans="2:2">
      <c r="B798" s="94"/>
    </row>
    <row r="799" spans="2:2">
      <c r="B799" s="94"/>
    </row>
    <row r="800" spans="2:2">
      <c r="B800" s="94"/>
    </row>
    <row r="801" spans="2:2">
      <c r="B801" s="94"/>
    </row>
    <row r="802" spans="2:2">
      <c r="B802" s="94"/>
    </row>
    <row r="803" spans="2:2">
      <c r="B803" s="94"/>
    </row>
    <row r="804" spans="2:2">
      <c r="B804" s="94"/>
    </row>
    <row r="805" spans="2:2">
      <c r="B805" s="94"/>
    </row>
    <row r="806" spans="2:2">
      <c r="B806" s="94"/>
    </row>
    <row r="807" spans="2:2">
      <c r="B807" s="94"/>
    </row>
    <row r="808" spans="2:2">
      <c r="B808" s="94"/>
    </row>
    <row r="809" spans="2:2">
      <c r="B809" s="94"/>
    </row>
    <row r="810" spans="2:2">
      <c r="B810" s="94"/>
    </row>
    <row r="811" spans="2:2">
      <c r="B811" s="94"/>
    </row>
    <row r="812" spans="2:2">
      <c r="B812" s="94"/>
    </row>
    <row r="813" spans="2:2">
      <c r="B813" s="94"/>
    </row>
    <row r="814" spans="2:2">
      <c r="B814" s="94"/>
    </row>
    <row r="815" spans="2:2">
      <c r="B815" s="94"/>
    </row>
    <row r="816" spans="2:2">
      <c r="B816" s="94"/>
    </row>
    <row r="817" spans="2:2">
      <c r="B817" s="94"/>
    </row>
    <row r="818" spans="2:2">
      <c r="B818" s="94"/>
    </row>
    <row r="819" spans="2:2">
      <c r="B819" s="94"/>
    </row>
    <row r="820" spans="2:2">
      <c r="B820" s="94"/>
    </row>
    <row r="821" spans="2:2">
      <c r="B821" s="94"/>
    </row>
    <row r="822" spans="2:2">
      <c r="B822" s="94"/>
    </row>
    <row r="823" spans="2:2">
      <c r="B823" s="94"/>
    </row>
    <row r="824" spans="2:2">
      <c r="B824" s="94"/>
    </row>
    <row r="825" spans="2:2">
      <c r="B825" s="94"/>
    </row>
    <row r="826" spans="2:2">
      <c r="B826" s="94"/>
    </row>
    <row r="827" spans="2:2">
      <c r="B827" s="94"/>
    </row>
    <row r="828" spans="2:2">
      <c r="B828" s="94"/>
    </row>
    <row r="829" spans="2:2">
      <c r="B829" s="94"/>
    </row>
    <row r="830" spans="2:2">
      <c r="B830" s="94"/>
    </row>
    <row r="831" spans="2:2">
      <c r="B831" s="94"/>
    </row>
    <row r="832" spans="2:2">
      <c r="B832" s="94"/>
    </row>
    <row r="833" spans="2:2">
      <c r="B833" s="94"/>
    </row>
    <row r="834" spans="2:2">
      <c r="B834" s="94"/>
    </row>
    <row r="835" spans="2:2">
      <c r="B835" s="94"/>
    </row>
    <row r="836" spans="2:2">
      <c r="B836" s="94"/>
    </row>
    <row r="837" spans="2:2">
      <c r="B837" s="94"/>
    </row>
    <row r="838" spans="2:2">
      <c r="B838" s="94"/>
    </row>
    <row r="839" spans="2:2">
      <c r="B839" s="94"/>
    </row>
    <row r="840" spans="2:2">
      <c r="B840" s="94"/>
    </row>
    <row r="841" spans="2:2">
      <c r="B841" s="94"/>
    </row>
    <row r="842" spans="2:2">
      <c r="B842" s="94"/>
    </row>
    <row r="843" spans="2:2">
      <c r="B843" s="94"/>
    </row>
    <row r="844" spans="2:2">
      <c r="B844" s="94"/>
    </row>
    <row r="845" spans="2:2">
      <c r="B845" s="94"/>
    </row>
    <row r="846" spans="2:2">
      <c r="B846" s="94"/>
    </row>
    <row r="847" spans="2:2">
      <c r="B847" s="94"/>
    </row>
    <row r="848" spans="2:2">
      <c r="B848" s="94"/>
    </row>
    <row r="849" spans="2:2">
      <c r="B849" s="94"/>
    </row>
    <row r="850" spans="2:2">
      <c r="B850" s="94"/>
    </row>
    <row r="851" spans="2:2">
      <c r="B851" s="94"/>
    </row>
    <row r="852" spans="2:2">
      <c r="B852" s="94"/>
    </row>
    <row r="853" spans="2:2">
      <c r="B853" s="94"/>
    </row>
    <row r="854" spans="2:2">
      <c r="B854" s="94"/>
    </row>
    <row r="855" spans="2:2">
      <c r="B855" s="94"/>
    </row>
    <row r="856" spans="2:2">
      <c r="B856" s="94"/>
    </row>
    <row r="857" spans="2:2">
      <c r="B857" s="94"/>
    </row>
    <row r="858" spans="2:2">
      <c r="B858" s="94"/>
    </row>
    <row r="859" spans="2:2">
      <c r="B859" s="94"/>
    </row>
    <row r="860" spans="2:2">
      <c r="B860" s="94"/>
    </row>
    <row r="861" spans="2:2">
      <c r="B861" s="94"/>
    </row>
    <row r="862" spans="2:2">
      <c r="B862" s="94"/>
    </row>
    <row r="863" spans="2:2">
      <c r="B863" s="94"/>
    </row>
    <row r="864" spans="2:2">
      <c r="B864" s="94"/>
    </row>
    <row r="865" spans="2:2">
      <c r="B865" s="94"/>
    </row>
    <row r="866" spans="2:2">
      <c r="B866" s="94"/>
    </row>
    <row r="867" spans="2:2">
      <c r="B867" s="94"/>
    </row>
    <row r="868" spans="2:2">
      <c r="B868" s="94"/>
    </row>
    <row r="869" spans="2:2">
      <c r="B869" s="94"/>
    </row>
    <row r="870" spans="2:2">
      <c r="B870" s="94"/>
    </row>
    <row r="871" spans="2:2">
      <c r="B871" s="94"/>
    </row>
    <row r="872" spans="2:2">
      <c r="B872" s="94"/>
    </row>
    <row r="873" spans="2:2">
      <c r="B873" s="94"/>
    </row>
    <row r="874" spans="2:2">
      <c r="B874" s="94"/>
    </row>
    <row r="875" spans="2:2">
      <c r="B875" s="94"/>
    </row>
    <row r="876" spans="2:2">
      <c r="B876" s="94"/>
    </row>
    <row r="877" spans="2:2">
      <c r="B877" s="94"/>
    </row>
    <row r="878" spans="2:2">
      <c r="B878" s="94"/>
    </row>
    <row r="879" spans="2:2">
      <c r="B879" s="94"/>
    </row>
    <row r="880" spans="2:2">
      <c r="B880" s="94"/>
    </row>
    <row r="881" spans="2:2">
      <c r="B881" s="94"/>
    </row>
    <row r="882" spans="2:2">
      <c r="B882" s="94"/>
    </row>
    <row r="883" spans="2:2">
      <c r="B883" s="94"/>
    </row>
    <row r="884" spans="2:2">
      <c r="B884" s="94"/>
    </row>
    <row r="885" spans="2:2">
      <c r="B885" s="94"/>
    </row>
    <row r="886" spans="2:2">
      <c r="B886" s="94"/>
    </row>
    <row r="887" spans="2:2">
      <c r="B887" s="94"/>
    </row>
    <row r="888" spans="2:2">
      <c r="B888" s="94"/>
    </row>
    <row r="889" spans="2:2">
      <c r="B889" s="94"/>
    </row>
    <row r="890" spans="2:2">
      <c r="B890" s="94"/>
    </row>
    <row r="891" spans="2:2">
      <c r="B891" s="94"/>
    </row>
    <row r="892" spans="2:2">
      <c r="B892" s="94"/>
    </row>
    <row r="893" spans="2:2">
      <c r="B893" s="94"/>
    </row>
    <row r="894" spans="2:2">
      <c r="B894" s="94"/>
    </row>
    <row r="895" spans="2:2">
      <c r="B895" s="94"/>
    </row>
    <row r="896" spans="2:2">
      <c r="B896" s="94"/>
    </row>
    <row r="897" spans="2:2">
      <c r="B897" s="94"/>
    </row>
    <row r="898" spans="2:2">
      <c r="B898" s="94"/>
    </row>
    <row r="899" spans="2:2">
      <c r="B899" s="94"/>
    </row>
    <row r="900" spans="2:2">
      <c r="B900" s="94"/>
    </row>
    <row r="901" spans="2:2">
      <c r="B901" s="94"/>
    </row>
    <row r="902" spans="2:2">
      <c r="B902" s="94"/>
    </row>
    <row r="903" spans="2:2">
      <c r="B903" s="94"/>
    </row>
    <row r="904" spans="2:2">
      <c r="B904" s="94"/>
    </row>
    <row r="905" spans="2:2">
      <c r="B905" s="94"/>
    </row>
    <row r="906" spans="2:2">
      <c r="B906" s="94"/>
    </row>
    <row r="907" spans="2:2">
      <c r="B907" s="94"/>
    </row>
    <row r="908" spans="2:2">
      <c r="B908" s="94"/>
    </row>
    <row r="909" spans="2:2">
      <c r="B909" s="94"/>
    </row>
    <row r="910" spans="2:2">
      <c r="B910" s="94"/>
    </row>
    <row r="911" spans="2:2">
      <c r="B911" s="94"/>
    </row>
    <row r="912" spans="2:2">
      <c r="B912" s="94"/>
    </row>
    <row r="913" spans="2:2">
      <c r="B913" s="94"/>
    </row>
    <row r="914" spans="2:2">
      <c r="B914" s="94"/>
    </row>
    <row r="915" spans="2:2">
      <c r="B915" s="94"/>
    </row>
    <row r="916" spans="2:2">
      <c r="B916" s="94"/>
    </row>
    <row r="917" spans="2:2">
      <c r="B917" s="94"/>
    </row>
    <row r="918" spans="2:2">
      <c r="B918" s="94"/>
    </row>
    <row r="919" spans="2:2">
      <c r="B919" s="94"/>
    </row>
    <row r="920" spans="2:2">
      <c r="B920" s="94"/>
    </row>
    <row r="921" spans="2:2">
      <c r="B921" s="94"/>
    </row>
    <row r="922" spans="2:2">
      <c r="B922" s="94"/>
    </row>
    <row r="923" spans="2:2">
      <c r="B923" s="94"/>
    </row>
    <row r="924" spans="2:2">
      <c r="B924" s="94"/>
    </row>
    <row r="925" spans="2:2">
      <c r="B925" s="94"/>
    </row>
    <row r="926" spans="2:2">
      <c r="B926" s="94"/>
    </row>
    <row r="927" spans="2:2">
      <c r="B927" s="94"/>
    </row>
    <row r="928" spans="2:2">
      <c r="B928" s="94"/>
    </row>
    <row r="929" spans="2:2">
      <c r="B929" s="94"/>
    </row>
    <row r="930" spans="2:2">
      <c r="B930" s="94"/>
    </row>
    <row r="931" spans="2:2">
      <c r="B931" s="94"/>
    </row>
    <row r="932" spans="2:2">
      <c r="B932" s="94"/>
    </row>
    <row r="933" spans="2:2">
      <c r="B933" s="94"/>
    </row>
    <row r="934" spans="2:2">
      <c r="B934" s="94"/>
    </row>
    <row r="935" spans="2:2">
      <c r="B935" s="94"/>
    </row>
    <row r="936" spans="2:2">
      <c r="B936" s="94"/>
    </row>
    <row r="937" spans="2:2">
      <c r="B937" s="94"/>
    </row>
    <row r="938" spans="2:2">
      <c r="B938" s="94"/>
    </row>
    <row r="939" spans="2:2">
      <c r="B939" s="94"/>
    </row>
    <row r="940" spans="2:2">
      <c r="B940" s="94"/>
    </row>
    <row r="941" spans="2:2">
      <c r="B941" s="94"/>
    </row>
    <row r="942" spans="2:2">
      <c r="B942" s="94"/>
    </row>
    <row r="943" spans="2:2">
      <c r="B943" s="94"/>
    </row>
    <row r="944" spans="2:2">
      <c r="B944" s="94"/>
    </row>
    <row r="945" spans="2:2">
      <c r="B945" s="94"/>
    </row>
    <row r="946" spans="2:2">
      <c r="B946" s="94"/>
    </row>
    <row r="947" spans="2:2">
      <c r="B947" s="94"/>
    </row>
    <row r="948" spans="2:2">
      <c r="B948" s="94"/>
    </row>
    <row r="949" spans="2:2">
      <c r="B949" s="94"/>
    </row>
    <row r="950" spans="2:2">
      <c r="B950" s="94"/>
    </row>
    <row r="951" spans="2:2">
      <c r="B951" s="94"/>
    </row>
    <row r="952" spans="2:2">
      <c r="B952" s="94"/>
    </row>
    <row r="953" spans="2:2">
      <c r="B953" s="94"/>
    </row>
    <row r="954" spans="2:2">
      <c r="B954" s="94"/>
    </row>
    <row r="955" spans="2:2">
      <c r="B955" s="94"/>
    </row>
    <row r="956" spans="2:2">
      <c r="B956" s="94"/>
    </row>
    <row r="957" spans="2:2">
      <c r="B957" s="94"/>
    </row>
    <row r="958" spans="2:2">
      <c r="B958" s="94"/>
    </row>
    <row r="959" spans="2:2">
      <c r="B959" s="94"/>
    </row>
    <row r="960" spans="2:2">
      <c r="B960" s="94"/>
    </row>
    <row r="961" spans="2:2">
      <c r="B961" s="94"/>
    </row>
    <row r="962" spans="2:2">
      <c r="B962" s="94"/>
    </row>
    <row r="963" spans="2:2">
      <c r="B963" s="94"/>
    </row>
    <row r="964" spans="2:2">
      <c r="B964" s="94"/>
    </row>
    <row r="965" spans="2:2">
      <c r="B965" s="94"/>
    </row>
    <row r="966" spans="2:2">
      <c r="B966" s="94"/>
    </row>
    <row r="967" spans="2:2">
      <c r="B967" s="94"/>
    </row>
    <row r="968" spans="2:2">
      <c r="B968" s="94"/>
    </row>
    <row r="969" spans="2:2">
      <c r="B969" s="94"/>
    </row>
    <row r="970" spans="2:2">
      <c r="B970" s="94"/>
    </row>
    <row r="971" spans="2:2">
      <c r="B971" s="94"/>
    </row>
    <row r="972" spans="2:2">
      <c r="B972" s="94"/>
    </row>
    <row r="973" spans="2:2">
      <c r="B973" s="94"/>
    </row>
    <row r="974" spans="2:2">
      <c r="B974" s="94"/>
    </row>
    <row r="975" spans="2:2">
      <c r="B975" s="94"/>
    </row>
    <row r="976" spans="2:2">
      <c r="B976" s="94"/>
    </row>
    <row r="977" spans="2:2">
      <c r="B977" s="94"/>
    </row>
    <row r="978" spans="2:2">
      <c r="B978" s="94"/>
    </row>
    <row r="979" spans="2:2">
      <c r="B979" s="94"/>
    </row>
    <row r="980" spans="2:2">
      <c r="B980" s="94"/>
    </row>
    <row r="981" spans="2:2">
      <c r="B981" s="94"/>
    </row>
    <row r="982" spans="2:2">
      <c r="B982" s="94"/>
    </row>
    <row r="983" spans="2:2">
      <c r="B983" s="94"/>
    </row>
    <row r="984" spans="2:2">
      <c r="B984" s="94"/>
    </row>
    <row r="985" spans="2:2">
      <c r="B985" s="94"/>
    </row>
    <row r="986" spans="2:2">
      <c r="B986" s="94"/>
    </row>
    <row r="987" spans="2:2">
      <c r="B987" s="94"/>
    </row>
    <row r="988" spans="2:2">
      <c r="B988" s="94"/>
    </row>
    <row r="989" spans="2:2">
      <c r="B989" s="94"/>
    </row>
    <row r="990" spans="2:2">
      <c r="B990" s="94"/>
    </row>
    <row r="991" spans="2:2">
      <c r="B991" s="94"/>
    </row>
    <row r="992" spans="2:2">
      <c r="B992" s="94"/>
    </row>
    <row r="993" spans="2:2">
      <c r="B993" s="94"/>
    </row>
    <row r="994" spans="2:2">
      <c r="B994" s="94"/>
    </row>
    <row r="995" spans="2:2">
      <c r="B995" s="94"/>
    </row>
    <row r="996" spans="2:2">
      <c r="B996" s="94"/>
    </row>
    <row r="997" spans="2:2">
      <c r="B997" s="94"/>
    </row>
    <row r="998" spans="2:2">
      <c r="B998" s="94"/>
    </row>
    <row r="999" spans="2:2">
      <c r="B999" s="94"/>
    </row>
    <row r="1000" spans="2:2">
      <c r="B1000" s="94"/>
    </row>
  </sheetData>
  <conditionalFormatting sqref="C2:C29">
    <cfRule type="containsText" dxfId="0" priority="1" operator="containsText" text="Promedio">
      <formula>NOT(ISERROR(SEARCH(("Promedio"),(C2))))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G959"/>
  <sheetViews>
    <sheetView workbookViewId="0"/>
  </sheetViews>
  <sheetFormatPr baseColWidth="10" defaultColWidth="14.42578125" defaultRowHeight="15" customHeight="1"/>
  <cols>
    <col min="1" max="1" width="7" customWidth="1"/>
    <col min="2" max="2" width="17.85546875" customWidth="1"/>
    <col min="3" max="3" width="51.28515625" customWidth="1"/>
    <col min="4" max="4" width="25.140625" customWidth="1"/>
    <col min="5" max="5" width="26.85546875" customWidth="1"/>
    <col min="6" max="6" width="22.5703125" customWidth="1"/>
    <col min="7" max="7" width="21.7109375" customWidth="1"/>
    <col min="8" max="8" width="21.140625" customWidth="1"/>
    <col min="9" max="9" width="29" customWidth="1"/>
    <col min="10" max="10" width="25.5703125" customWidth="1"/>
    <col min="11" max="11" width="29.85546875" customWidth="1"/>
    <col min="12" max="12" width="20.85546875" customWidth="1"/>
    <col min="13" max="13" width="21.28515625" customWidth="1"/>
    <col min="14" max="14" width="19.5703125" customWidth="1"/>
    <col min="15" max="15" width="19.42578125" customWidth="1"/>
    <col min="16" max="16" width="18.5703125" customWidth="1"/>
    <col min="17" max="17" width="23" customWidth="1"/>
    <col min="18" max="18" width="18.85546875" customWidth="1"/>
    <col min="19" max="19" width="14" customWidth="1"/>
    <col min="20" max="30" width="10.7109375" customWidth="1"/>
    <col min="31" max="31" width="13.85546875" customWidth="1"/>
    <col min="32" max="32" width="37.28515625" customWidth="1"/>
    <col min="33" max="33" width="18.7109375" customWidth="1"/>
  </cols>
  <sheetData>
    <row r="1" spans="1:19" ht="15.75">
      <c r="A1" s="49"/>
      <c r="B1" s="50"/>
      <c r="C1" s="50"/>
      <c r="D1" s="51"/>
      <c r="E1" s="51"/>
      <c r="F1" s="51"/>
      <c r="G1" s="51"/>
      <c r="H1" s="51"/>
      <c r="I1" s="50"/>
      <c r="J1" s="52"/>
      <c r="K1" s="52"/>
      <c r="L1" s="50"/>
      <c r="M1" s="50"/>
      <c r="N1" s="52"/>
      <c r="O1" s="52"/>
      <c r="P1" s="52"/>
      <c r="Q1" s="50"/>
      <c r="R1" s="50"/>
    </row>
    <row r="2" spans="1:19" ht="15.75">
      <c r="A2" s="49"/>
      <c r="B2" s="50"/>
      <c r="C2" s="50"/>
      <c r="D2" s="51"/>
      <c r="E2" s="51"/>
      <c r="F2" s="51"/>
      <c r="G2" s="51"/>
      <c r="H2" s="51"/>
      <c r="I2" s="50"/>
      <c r="J2" s="52"/>
      <c r="K2" s="52"/>
      <c r="L2" s="50"/>
      <c r="M2" s="50"/>
      <c r="N2" s="52"/>
      <c r="O2" s="52"/>
      <c r="P2" s="52"/>
      <c r="Q2" s="50"/>
      <c r="R2" s="50"/>
    </row>
    <row r="3" spans="1:19" ht="15.75">
      <c r="A3" s="49"/>
      <c r="B3" s="50"/>
      <c r="C3" s="50"/>
      <c r="D3" s="51"/>
      <c r="E3" s="51"/>
      <c r="F3" s="51"/>
      <c r="G3" s="51"/>
      <c r="H3" s="51"/>
      <c r="I3" s="50"/>
      <c r="J3" s="52"/>
      <c r="K3" s="52"/>
      <c r="L3" s="50"/>
      <c r="M3" s="50"/>
      <c r="N3" s="52"/>
      <c r="O3" s="52"/>
      <c r="P3" s="52"/>
      <c r="Q3" s="50"/>
      <c r="R3" s="50"/>
    </row>
    <row r="4" spans="1:19" ht="15.75">
      <c r="A4" s="49"/>
      <c r="B4" s="50"/>
      <c r="C4" s="50"/>
      <c r="D4" s="165" t="s">
        <v>0</v>
      </c>
      <c r="E4" s="166"/>
      <c r="F4" s="166"/>
      <c r="G4" s="166"/>
      <c r="H4" s="166"/>
      <c r="I4" s="50"/>
      <c r="J4" s="52"/>
      <c r="K4" s="52"/>
      <c r="L4" s="50"/>
      <c r="M4" s="50"/>
      <c r="N4" s="52"/>
      <c r="O4" s="52"/>
      <c r="P4" s="52"/>
      <c r="Q4" s="50"/>
      <c r="R4" s="50"/>
    </row>
    <row r="5" spans="1:19" ht="15.75">
      <c r="A5" s="49"/>
      <c r="B5" s="50"/>
      <c r="C5" s="50"/>
      <c r="D5" s="165" t="s">
        <v>1</v>
      </c>
      <c r="E5" s="166"/>
      <c r="F5" s="166"/>
      <c r="G5" s="166"/>
      <c r="H5" s="166"/>
      <c r="I5" s="50"/>
      <c r="J5" s="52"/>
      <c r="K5" s="52"/>
      <c r="L5" s="50"/>
      <c r="M5" s="50"/>
      <c r="N5" s="52"/>
      <c r="O5" s="52"/>
      <c r="P5" s="52"/>
      <c r="Q5" s="50"/>
      <c r="R5" s="50"/>
    </row>
    <row r="6" spans="1:19" ht="15.75">
      <c r="A6" s="49"/>
      <c r="B6" s="50"/>
      <c r="C6" s="50"/>
      <c r="D6" s="165" t="s">
        <v>2</v>
      </c>
      <c r="E6" s="166"/>
      <c r="F6" s="166"/>
      <c r="G6" s="166"/>
      <c r="H6" s="166"/>
      <c r="I6" s="50"/>
      <c r="J6" s="52"/>
      <c r="K6" s="52"/>
      <c r="L6" s="50"/>
      <c r="M6" s="50"/>
      <c r="N6" s="52"/>
      <c r="O6" s="52"/>
      <c r="P6" s="52"/>
      <c r="Q6" s="50"/>
      <c r="R6" s="50"/>
    </row>
    <row r="7" spans="1:19" ht="15.75">
      <c r="A7" s="49"/>
      <c r="B7" s="50"/>
      <c r="C7" s="50"/>
      <c r="D7" s="165"/>
      <c r="E7" s="166"/>
      <c r="F7" s="166"/>
      <c r="G7" s="166"/>
      <c r="H7" s="166"/>
      <c r="I7" s="50"/>
      <c r="J7" s="52"/>
      <c r="K7" s="52"/>
      <c r="L7" s="50"/>
      <c r="M7" s="50"/>
      <c r="N7" s="52"/>
      <c r="O7" s="52"/>
      <c r="P7" s="52"/>
      <c r="Q7" s="50"/>
      <c r="R7" s="50"/>
    </row>
    <row r="8" spans="1:19" ht="15.75">
      <c r="A8" s="49"/>
      <c r="B8" s="50"/>
      <c r="C8" s="50"/>
      <c r="D8" s="53"/>
      <c r="E8" s="53"/>
      <c r="F8" s="53"/>
      <c r="G8" s="53"/>
      <c r="H8" s="53"/>
      <c r="I8" s="50"/>
      <c r="J8" s="52"/>
      <c r="K8" s="52"/>
      <c r="L8" s="50"/>
      <c r="M8" s="50"/>
      <c r="N8" s="52"/>
      <c r="O8" s="52"/>
      <c r="P8" s="52"/>
      <c r="Q8" s="50"/>
      <c r="R8" s="50"/>
    </row>
    <row r="9" spans="1:19" ht="15.75">
      <c r="A9" s="49"/>
      <c r="B9" s="50"/>
      <c r="C9" s="50"/>
      <c r="D9" s="51"/>
      <c r="E9" s="51"/>
      <c r="F9" s="51"/>
      <c r="G9" s="51"/>
      <c r="H9" s="51"/>
      <c r="I9" s="50"/>
      <c r="J9" s="52"/>
      <c r="K9" s="52"/>
      <c r="L9" s="50"/>
      <c r="M9" s="50"/>
      <c r="N9" s="52"/>
      <c r="O9" s="52"/>
      <c r="P9" s="52"/>
      <c r="Q9" s="50"/>
      <c r="R9" s="50"/>
    </row>
    <row r="10" spans="1:19" ht="15.75">
      <c r="A10" s="49"/>
      <c r="B10" s="50"/>
      <c r="C10" s="50"/>
      <c r="D10" s="51"/>
      <c r="E10" s="51"/>
      <c r="F10" s="51"/>
      <c r="G10" s="51"/>
      <c r="H10" s="51"/>
      <c r="I10" s="50"/>
      <c r="J10" s="52"/>
      <c r="K10" s="52"/>
      <c r="L10" s="50"/>
      <c r="M10" s="50"/>
      <c r="N10" s="52"/>
      <c r="O10" s="52"/>
      <c r="P10" s="52"/>
      <c r="Q10" s="50"/>
      <c r="R10" s="50"/>
    </row>
    <row r="11" spans="1:19" ht="15.75">
      <c r="A11" s="49"/>
      <c r="B11" s="50"/>
      <c r="C11" s="50"/>
      <c r="D11" s="51"/>
      <c r="E11" s="51"/>
      <c r="F11" s="51"/>
      <c r="G11" s="51"/>
      <c r="H11" s="51"/>
      <c r="I11" s="50"/>
      <c r="J11" s="52"/>
      <c r="K11" s="52"/>
      <c r="L11" s="50"/>
      <c r="M11" s="50"/>
      <c r="N11" s="52"/>
      <c r="O11" s="52"/>
      <c r="P11" s="52"/>
      <c r="Q11" s="50"/>
      <c r="R11" s="50"/>
    </row>
    <row r="12" spans="1:19" ht="15.75">
      <c r="A12" s="54"/>
      <c r="B12" s="55"/>
      <c r="C12" s="55"/>
      <c r="D12" s="55"/>
      <c r="E12" s="55"/>
      <c r="F12" s="55"/>
      <c r="G12" s="55"/>
      <c r="H12" s="55"/>
      <c r="I12" s="55"/>
      <c r="J12" s="56"/>
      <c r="K12" s="56"/>
      <c r="L12" s="55"/>
      <c r="M12" s="55"/>
      <c r="N12" s="56"/>
      <c r="O12" s="56"/>
      <c r="P12" s="56"/>
      <c r="Q12" s="55"/>
      <c r="R12" s="55"/>
      <c r="S12" s="89"/>
    </row>
    <row r="13" spans="1:19" ht="15.75">
      <c r="A13" s="54"/>
      <c r="B13" s="55"/>
      <c r="C13" s="2" t="s">
        <v>3</v>
      </c>
      <c r="D13" s="167" t="s">
        <v>4</v>
      </c>
      <c r="E13" s="157"/>
      <c r="F13" s="157"/>
      <c r="G13" s="157"/>
      <c r="H13" s="158"/>
      <c r="I13" s="1"/>
      <c r="J13" s="56"/>
      <c r="K13" s="56"/>
      <c r="L13" s="55"/>
      <c r="M13" s="55"/>
      <c r="N13" s="56"/>
      <c r="O13" s="56"/>
      <c r="P13" s="56"/>
      <c r="Q13" s="55"/>
      <c r="R13" s="55"/>
      <c r="S13" s="89"/>
    </row>
    <row r="14" spans="1:19" ht="15.75">
      <c r="A14" s="54"/>
      <c r="B14" s="55"/>
      <c r="C14" s="2" t="s">
        <v>5</v>
      </c>
      <c r="D14" s="156" t="s">
        <v>6</v>
      </c>
      <c r="E14" s="157"/>
      <c r="F14" s="157"/>
      <c r="G14" s="157"/>
      <c r="H14" s="158"/>
      <c r="I14" s="57" t="s">
        <v>7</v>
      </c>
      <c r="J14" s="56"/>
      <c r="K14" s="56"/>
      <c r="L14" s="55"/>
      <c r="M14" s="55"/>
      <c r="N14" s="56"/>
      <c r="O14" s="56"/>
      <c r="P14" s="56"/>
      <c r="Q14" s="55"/>
      <c r="R14" s="55"/>
      <c r="S14" s="89"/>
    </row>
    <row r="15" spans="1:19" ht="15.75">
      <c r="A15" s="54"/>
      <c r="B15" s="55"/>
      <c r="C15" s="2" t="s">
        <v>8</v>
      </c>
      <c r="D15" s="156" t="s">
        <v>9</v>
      </c>
      <c r="E15" s="157"/>
      <c r="F15" s="157"/>
      <c r="G15" s="157"/>
      <c r="H15" s="158"/>
      <c r="I15" s="57" t="s">
        <v>7</v>
      </c>
      <c r="J15" s="56"/>
      <c r="K15" s="56"/>
      <c r="L15" s="55"/>
      <c r="M15" s="55"/>
      <c r="N15" s="56"/>
      <c r="O15" s="56"/>
      <c r="P15" s="56"/>
      <c r="Q15" s="55"/>
      <c r="R15" s="55"/>
      <c r="S15" s="89"/>
    </row>
    <row r="16" spans="1:19" ht="60">
      <c r="A16" s="54"/>
      <c r="B16" s="55"/>
      <c r="C16" s="2" t="s">
        <v>10</v>
      </c>
      <c r="D16" s="156" t="s">
        <v>11</v>
      </c>
      <c r="E16" s="157"/>
      <c r="F16" s="157"/>
      <c r="G16" s="157"/>
      <c r="H16" s="158"/>
      <c r="I16" s="3" t="s">
        <v>12</v>
      </c>
      <c r="J16" s="56"/>
      <c r="K16" s="56"/>
      <c r="L16" s="55"/>
      <c r="M16" s="55"/>
      <c r="N16" s="56"/>
      <c r="O16" s="56"/>
      <c r="P16" s="56"/>
      <c r="Q16" s="55"/>
      <c r="R16" s="55"/>
      <c r="S16" s="89"/>
    </row>
    <row r="17" spans="1:33" ht="15.75">
      <c r="A17" s="54"/>
      <c r="B17" s="55"/>
      <c r="C17" s="2" t="s">
        <v>13</v>
      </c>
      <c r="D17" s="156" t="s">
        <v>14</v>
      </c>
      <c r="E17" s="157"/>
      <c r="F17" s="157"/>
      <c r="G17" s="157"/>
      <c r="H17" s="158"/>
      <c r="I17" s="57" t="s">
        <v>7</v>
      </c>
      <c r="J17" s="56"/>
      <c r="K17" s="56"/>
      <c r="L17" s="55"/>
      <c r="M17" s="55"/>
      <c r="N17" s="56"/>
      <c r="O17" s="56"/>
      <c r="P17" s="56"/>
      <c r="Q17" s="55"/>
      <c r="R17" s="55"/>
      <c r="S17" s="89"/>
    </row>
    <row r="18" spans="1:33" ht="15.75">
      <c r="A18" s="58"/>
      <c r="B18" s="58"/>
      <c r="C18" s="2" t="s">
        <v>15</v>
      </c>
      <c r="D18" s="156" t="s">
        <v>16</v>
      </c>
      <c r="E18" s="157"/>
      <c r="F18" s="157"/>
      <c r="G18" s="157"/>
      <c r="H18" s="158"/>
      <c r="I18" s="57" t="s">
        <v>7</v>
      </c>
      <c r="J18" s="56"/>
      <c r="K18" s="56"/>
      <c r="L18" s="55"/>
      <c r="M18" s="55"/>
      <c r="N18" s="56"/>
      <c r="O18" s="56"/>
      <c r="P18" s="56"/>
      <c r="Q18" s="55"/>
      <c r="R18" s="55"/>
      <c r="S18" s="89"/>
    </row>
    <row r="19" spans="1:33" ht="15.75" hidden="1">
      <c r="A19" s="59"/>
      <c r="B19" s="60"/>
      <c r="C19" s="2" t="s">
        <v>17</v>
      </c>
      <c r="D19" s="156"/>
      <c r="E19" s="157"/>
      <c r="F19" s="157"/>
      <c r="G19" s="157"/>
      <c r="H19" s="158"/>
      <c r="I19" s="1"/>
      <c r="J19" s="56"/>
      <c r="K19" s="56"/>
      <c r="L19" s="55"/>
      <c r="M19" s="55"/>
      <c r="N19" s="56"/>
      <c r="O19" s="56"/>
      <c r="P19" s="56"/>
      <c r="Q19" s="55"/>
      <c r="R19" s="55"/>
      <c r="S19" s="89"/>
    </row>
    <row r="20" spans="1:33" ht="15.75">
      <c r="C20" s="2" t="s">
        <v>17</v>
      </c>
      <c r="D20" s="156" t="s">
        <v>18</v>
      </c>
      <c r="E20" s="157"/>
      <c r="F20" s="157"/>
      <c r="G20" s="157"/>
      <c r="H20" s="158"/>
      <c r="I20" s="57" t="s">
        <v>7</v>
      </c>
      <c r="J20" s="56"/>
      <c r="K20" s="56"/>
      <c r="L20" s="55"/>
      <c r="M20" s="55"/>
      <c r="N20" s="56"/>
      <c r="O20" s="56"/>
      <c r="P20" s="56"/>
      <c r="Q20" s="55"/>
      <c r="R20" s="55"/>
      <c r="S20" s="89"/>
    </row>
    <row r="21" spans="1:33" ht="15.75">
      <c r="A21" s="4"/>
      <c r="B21" s="161" t="s">
        <v>19</v>
      </c>
      <c r="C21" s="2" t="s">
        <v>20</v>
      </c>
      <c r="D21" s="156" t="s">
        <v>21</v>
      </c>
      <c r="E21" s="157"/>
      <c r="F21" s="157"/>
      <c r="G21" s="157"/>
      <c r="H21" s="158"/>
      <c r="I21" s="57" t="s">
        <v>7</v>
      </c>
      <c r="K21" s="56"/>
      <c r="L21" s="55"/>
      <c r="M21" s="55"/>
      <c r="N21" s="56"/>
      <c r="O21" s="56"/>
      <c r="P21" s="56"/>
      <c r="Q21" s="55"/>
      <c r="R21" s="55"/>
      <c r="S21" s="89"/>
    </row>
    <row r="22" spans="1:33" ht="15.75">
      <c r="A22" s="4"/>
      <c r="B22" s="162"/>
      <c r="C22" s="2" t="s">
        <v>22</v>
      </c>
      <c r="D22" s="156" t="s">
        <v>23</v>
      </c>
      <c r="E22" s="157"/>
      <c r="F22" s="157"/>
      <c r="G22" s="157"/>
      <c r="H22" s="158"/>
      <c r="I22" s="57" t="s">
        <v>7</v>
      </c>
      <c r="J22" s="56"/>
      <c r="K22" s="56"/>
      <c r="L22" s="55"/>
      <c r="M22" s="55"/>
      <c r="N22" s="56"/>
      <c r="O22" s="56"/>
      <c r="P22" s="56"/>
      <c r="Q22" s="55"/>
      <c r="R22" s="55"/>
      <c r="S22" s="89"/>
    </row>
    <row r="23" spans="1:33" ht="15.75">
      <c r="A23" s="5"/>
      <c r="B23" s="163" t="s">
        <v>24</v>
      </c>
      <c r="C23" s="2" t="s">
        <v>25</v>
      </c>
      <c r="D23" s="156" t="s">
        <v>26</v>
      </c>
      <c r="E23" s="157"/>
      <c r="F23" s="157"/>
      <c r="G23" s="157"/>
      <c r="H23" s="158"/>
      <c r="I23" s="57" t="s">
        <v>7</v>
      </c>
      <c r="J23" s="56"/>
      <c r="K23" s="56"/>
      <c r="L23" s="55"/>
      <c r="M23" s="55"/>
      <c r="N23" s="56"/>
      <c r="O23" s="56"/>
      <c r="P23" s="56"/>
      <c r="Q23" s="55"/>
      <c r="R23" s="55"/>
      <c r="S23" s="89"/>
    </row>
    <row r="24" spans="1:33" ht="31.5">
      <c r="A24" s="5"/>
      <c r="B24" s="164"/>
      <c r="C24" s="2" t="s">
        <v>27</v>
      </c>
      <c r="D24" s="156" t="s">
        <v>28</v>
      </c>
      <c r="E24" s="157"/>
      <c r="F24" s="157"/>
      <c r="G24" s="157"/>
      <c r="H24" s="158"/>
      <c r="I24" s="57" t="s">
        <v>7</v>
      </c>
      <c r="J24" s="56"/>
      <c r="K24" s="56"/>
      <c r="L24" s="55"/>
      <c r="M24" s="55"/>
      <c r="N24" s="56"/>
      <c r="O24" s="56"/>
      <c r="P24" s="56"/>
      <c r="Q24" s="55"/>
      <c r="R24" s="55"/>
      <c r="S24" s="89"/>
    </row>
    <row r="25" spans="1:33" ht="15.75">
      <c r="A25" s="5"/>
      <c r="B25" s="163" t="s">
        <v>29</v>
      </c>
      <c r="C25" s="2" t="s">
        <v>30</v>
      </c>
      <c r="D25" s="156" t="s">
        <v>31</v>
      </c>
      <c r="E25" s="157"/>
      <c r="F25" s="157"/>
      <c r="G25" s="157"/>
      <c r="H25" s="158"/>
      <c r="I25" s="57" t="s">
        <v>7</v>
      </c>
      <c r="J25" s="56"/>
      <c r="K25" s="56"/>
      <c r="L25" s="55"/>
      <c r="M25" s="55"/>
      <c r="N25" s="56"/>
      <c r="O25" s="56"/>
      <c r="P25" s="56"/>
      <c r="Q25" s="55"/>
      <c r="R25" s="55"/>
      <c r="S25" s="89"/>
    </row>
    <row r="26" spans="1:33" ht="15.75">
      <c r="A26" s="5"/>
      <c r="B26" s="162"/>
      <c r="C26" s="2" t="s">
        <v>32</v>
      </c>
      <c r="D26" s="156" t="s">
        <v>33</v>
      </c>
      <c r="E26" s="157"/>
      <c r="F26" s="157"/>
      <c r="G26" s="157"/>
      <c r="H26" s="158"/>
      <c r="I26" s="57" t="s">
        <v>7</v>
      </c>
      <c r="J26" s="56"/>
      <c r="K26" s="56"/>
      <c r="L26" s="55"/>
      <c r="M26" s="55"/>
      <c r="N26" s="56"/>
      <c r="O26" s="56"/>
      <c r="P26" s="56"/>
      <c r="Q26" s="55"/>
      <c r="R26" s="55"/>
      <c r="S26" s="89"/>
    </row>
    <row r="27" spans="1:33" ht="15.75">
      <c r="A27" s="5"/>
      <c r="B27" s="162"/>
      <c r="C27" s="2" t="s">
        <v>34</v>
      </c>
      <c r="D27" s="156" t="s">
        <v>35</v>
      </c>
      <c r="E27" s="157"/>
      <c r="F27" s="157"/>
      <c r="G27" s="157"/>
      <c r="H27" s="158"/>
      <c r="I27" s="57" t="s">
        <v>7</v>
      </c>
      <c r="J27" s="56"/>
      <c r="K27" s="56"/>
      <c r="L27" s="55"/>
      <c r="M27" s="55"/>
      <c r="N27" s="56"/>
      <c r="O27" s="56"/>
      <c r="P27" s="56"/>
      <c r="Q27" s="55"/>
      <c r="R27" s="55"/>
      <c r="S27" s="89"/>
    </row>
    <row r="28" spans="1:33" ht="15.75">
      <c r="A28" s="5"/>
      <c r="B28" s="162"/>
      <c r="C28" s="2" t="s">
        <v>36</v>
      </c>
      <c r="D28" s="156" t="s">
        <v>37</v>
      </c>
      <c r="E28" s="157"/>
      <c r="F28" s="157"/>
      <c r="G28" s="157"/>
      <c r="H28" s="158"/>
      <c r="I28" s="55"/>
      <c r="J28" s="56"/>
      <c r="K28" s="56"/>
      <c r="L28" s="55"/>
      <c r="M28" s="55"/>
      <c r="N28" s="56"/>
      <c r="O28" s="61"/>
      <c r="P28" s="61"/>
      <c r="Q28" s="55"/>
      <c r="R28" s="55"/>
      <c r="S28" s="89"/>
    </row>
    <row r="29" spans="1:33" ht="31.5">
      <c r="A29" s="58"/>
      <c r="B29" s="58"/>
      <c r="C29" s="2" t="s">
        <v>38</v>
      </c>
      <c r="D29" s="159" t="s">
        <v>39</v>
      </c>
      <c r="E29" s="157"/>
      <c r="F29" s="157"/>
      <c r="G29" s="157"/>
      <c r="H29" s="157"/>
      <c r="I29" s="55"/>
      <c r="J29" s="56"/>
      <c r="K29" s="56"/>
      <c r="L29" s="55"/>
      <c r="M29" s="55"/>
      <c r="N29" s="56"/>
      <c r="O29" s="61"/>
      <c r="P29" s="61"/>
      <c r="Q29" s="55"/>
      <c r="R29" s="55"/>
      <c r="S29" s="89"/>
    </row>
    <row r="30" spans="1:33" ht="15.75">
      <c r="A30" s="58"/>
      <c r="B30" s="58"/>
      <c r="C30" s="6" t="s">
        <v>40</v>
      </c>
      <c r="D30" s="160"/>
      <c r="E30" s="157"/>
      <c r="F30" s="157"/>
      <c r="G30" s="157"/>
      <c r="H30" s="158"/>
      <c r="I30" s="1"/>
      <c r="J30" s="56"/>
      <c r="K30" s="56"/>
      <c r="L30" s="55"/>
      <c r="M30" s="55"/>
      <c r="N30" s="56"/>
      <c r="O30" s="56"/>
      <c r="P30" s="56"/>
      <c r="Q30" s="55"/>
      <c r="R30" s="55"/>
      <c r="S30" s="89"/>
    </row>
    <row r="31" spans="1:33" ht="15.75">
      <c r="A31" s="54"/>
      <c r="B31" s="55"/>
      <c r="C31" s="55"/>
      <c r="D31" s="7"/>
      <c r="E31" s="7"/>
      <c r="F31" s="7"/>
      <c r="G31" s="7"/>
      <c r="H31" s="7"/>
      <c r="I31" s="8"/>
      <c r="J31" s="8"/>
      <c r="K31" s="8"/>
      <c r="L31" s="8"/>
      <c r="M31" s="8"/>
      <c r="N31" s="8"/>
      <c r="O31" s="8"/>
      <c r="P31" s="8"/>
      <c r="Q31" s="8"/>
      <c r="R31" s="8"/>
      <c r="S31" s="89"/>
      <c r="AF31" s="90" t="s">
        <v>41</v>
      </c>
      <c r="AG31" s="90">
        <v>3</v>
      </c>
    </row>
    <row r="32" spans="1:33" ht="63">
      <c r="A32" s="62"/>
      <c r="B32" s="63" t="s">
        <v>42</v>
      </c>
      <c r="C32" s="9" t="s">
        <v>43</v>
      </c>
      <c r="D32" s="6" t="s">
        <v>44</v>
      </c>
      <c r="E32" s="6" t="s">
        <v>45</v>
      </c>
      <c r="F32" s="6" t="s">
        <v>46</v>
      </c>
      <c r="G32" s="6" t="s">
        <v>47</v>
      </c>
      <c r="H32" s="6" t="s">
        <v>48</v>
      </c>
      <c r="I32" s="6" t="s">
        <v>49</v>
      </c>
      <c r="J32" s="10" t="s">
        <v>50</v>
      </c>
      <c r="K32" s="10" t="s">
        <v>51</v>
      </c>
      <c r="L32" s="6" t="s">
        <v>52</v>
      </c>
      <c r="M32" s="6" t="s">
        <v>53</v>
      </c>
      <c r="N32" s="10" t="s">
        <v>54</v>
      </c>
      <c r="O32" s="10" t="s">
        <v>55</v>
      </c>
      <c r="P32" s="10" t="s">
        <v>56</v>
      </c>
      <c r="Q32" s="6" t="s">
        <v>57</v>
      </c>
      <c r="R32" s="6" t="s">
        <v>58</v>
      </c>
      <c r="S32" s="100" t="s">
        <v>59</v>
      </c>
      <c r="T32" s="101" t="s">
        <v>60</v>
      </c>
      <c r="U32" s="101" t="s">
        <v>61</v>
      </c>
      <c r="V32" s="101" t="s">
        <v>62</v>
      </c>
      <c r="W32" s="101" t="s">
        <v>63</v>
      </c>
      <c r="X32" s="101" t="s">
        <v>64</v>
      </c>
      <c r="Y32" s="101" t="s">
        <v>65</v>
      </c>
      <c r="Z32" s="101" t="s">
        <v>66</v>
      </c>
      <c r="AA32" s="101" t="s">
        <v>67</v>
      </c>
      <c r="AB32" s="101" t="s">
        <v>68</v>
      </c>
      <c r="AC32" s="101" t="s">
        <v>69</v>
      </c>
      <c r="AD32" s="101" t="s">
        <v>70</v>
      </c>
      <c r="AE32" s="102" t="s">
        <v>71</v>
      </c>
      <c r="AF32" s="102" t="s">
        <v>72</v>
      </c>
      <c r="AG32" s="102" t="s">
        <v>73</v>
      </c>
    </row>
    <row r="33" spans="1:33" ht="370.5">
      <c r="B33" s="55"/>
      <c r="C33" s="2" t="s">
        <v>74</v>
      </c>
      <c r="D33" s="11" t="s">
        <v>75</v>
      </c>
      <c r="E33" s="11" t="s">
        <v>76</v>
      </c>
      <c r="F33" s="11" t="s">
        <v>77</v>
      </c>
      <c r="G33" s="12" t="s">
        <v>78</v>
      </c>
      <c r="H33" s="12" t="s">
        <v>79</v>
      </c>
      <c r="I33" s="11" t="s">
        <v>80</v>
      </c>
      <c r="J33" s="13" t="s">
        <v>81</v>
      </c>
      <c r="K33" s="13" t="s">
        <v>82</v>
      </c>
      <c r="L33" s="12" t="s">
        <v>83</v>
      </c>
      <c r="M33" s="12" t="s">
        <v>338</v>
      </c>
      <c r="N33" s="14" t="s">
        <v>85</v>
      </c>
      <c r="O33" s="103">
        <v>44511</v>
      </c>
      <c r="P33" s="16"/>
      <c r="Q33" s="11" t="s">
        <v>86</v>
      </c>
      <c r="R33" s="11" t="s">
        <v>87</v>
      </c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104">
        <v>11637</v>
      </c>
      <c r="AF33" s="104"/>
      <c r="AG33" s="89"/>
    </row>
    <row r="34" spans="1:33" ht="199.5">
      <c r="B34" s="64" t="s">
        <v>7</v>
      </c>
      <c r="C34" s="2" t="s">
        <v>88</v>
      </c>
      <c r="D34" s="11" t="s">
        <v>89</v>
      </c>
      <c r="E34" s="11" t="s">
        <v>90</v>
      </c>
      <c r="F34" s="11" t="s">
        <v>91</v>
      </c>
      <c r="G34" s="12" t="s">
        <v>92</v>
      </c>
      <c r="H34" s="12" t="s">
        <v>79</v>
      </c>
      <c r="I34" s="11" t="s">
        <v>93</v>
      </c>
      <c r="J34" s="17" t="s">
        <v>94</v>
      </c>
      <c r="K34" s="18" t="s">
        <v>95</v>
      </c>
      <c r="L34" s="12" t="s">
        <v>83</v>
      </c>
      <c r="M34" s="12" t="s">
        <v>338</v>
      </c>
      <c r="N34" s="14" t="s">
        <v>85</v>
      </c>
      <c r="O34" s="103">
        <v>1505977</v>
      </c>
      <c r="P34" s="16"/>
      <c r="Q34" s="11" t="s">
        <v>96</v>
      </c>
      <c r="R34" s="11" t="s">
        <v>97</v>
      </c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65">
        <v>90912</v>
      </c>
      <c r="AF34" s="89"/>
      <c r="AG34" s="89"/>
    </row>
    <row r="35" spans="1:33" ht="185.25">
      <c r="B35" s="67" t="s">
        <v>98</v>
      </c>
      <c r="C35" s="19" t="s">
        <v>99</v>
      </c>
      <c r="D35" s="11" t="s">
        <v>100</v>
      </c>
      <c r="E35" s="11" t="s">
        <v>101</v>
      </c>
      <c r="F35" s="11" t="s">
        <v>102</v>
      </c>
      <c r="G35" s="11" t="s">
        <v>103</v>
      </c>
      <c r="H35" s="11" t="s">
        <v>79</v>
      </c>
      <c r="I35" s="11" t="s">
        <v>104</v>
      </c>
      <c r="J35" s="11" t="s">
        <v>105</v>
      </c>
      <c r="K35" s="68" t="s">
        <v>106</v>
      </c>
      <c r="L35" s="11" t="s">
        <v>107</v>
      </c>
      <c r="M35" s="11" t="s">
        <v>84</v>
      </c>
      <c r="N35" s="11" t="s">
        <v>85</v>
      </c>
      <c r="O35" s="105">
        <v>0.9</v>
      </c>
      <c r="P35" s="16"/>
      <c r="Q35" s="11" t="s">
        <v>86</v>
      </c>
      <c r="R35" s="11" t="s">
        <v>108</v>
      </c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20"/>
      <c r="AF35" s="20"/>
      <c r="AG35" s="20"/>
    </row>
    <row r="36" spans="1:33" ht="171">
      <c r="A36" s="69" t="s">
        <v>74</v>
      </c>
      <c r="B36" s="70"/>
      <c r="C36" s="21" t="s">
        <v>109</v>
      </c>
      <c r="D36" s="11" t="s">
        <v>110</v>
      </c>
      <c r="E36" s="22" t="s">
        <v>111</v>
      </c>
      <c r="F36" s="11" t="s">
        <v>112</v>
      </c>
      <c r="G36" s="23" t="s">
        <v>103</v>
      </c>
      <c r="H36" s="23" t="s">
        <v>113</v>
      </c>
      <c r="I36" s="22" t="s">
        <v>114</v>
      </c>
      <c r="J36" s="24" t="s">
        <v>115</v>
      </c>
      <c r="K36" s="13" t="s">
        <v>116</v>
      </c>
      <c r="L36" s="11" t="s">
        <v>107</v>
      </c>
      <c r="M36" s="25" t="s">
        <v>84</v>
      </c>
      <c r="N36" s="11">
        <v>517</v>
      </c>
      <c r="O36" s="11">
        <v>7450</v>
      </c>
      <c r="P36" s="26"/>
      <c r="Q36" s="12" t="s">
        <v>117</v>
      </c>
      <c r="R36" s="11" t="s">
        <v>118</v>
      </c>
      <c r="S36" s="11">
        <v>0</v>
      </c>
      <c r="T36" s="11">
        <v>6</v>
      </c>
      <c r="U36" s="11">
        <v>457</v>
      </c>
      <c r="V36" s="11">
        <v>15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20">
        <v>463</v>
      </c>
      <c r="AF36" s="20" t="s">
        <v>346</v>
      </c>
      <c r="AG36" s="20">
        <v>463</v>
      </c>
    </row>
    <row r="37" spans="1:33" ht="142.5">
      <c r="A37" s="71" t="s">
        <v>88</v>
      </c>
      <c r="B37" s="70"/>
      <c r="C37" s="21" t="s">
        <v>119</v>
      </c>
      <c r="D37" s="11" t="s">
        <v>120</v>
      </c>
      <c r="E37" s="11" t="s">
        <v>121</v>
      </c>
      <c r="F37" s="11" t="s">
        <v>122</v>
      </c>
      <c r="G37" s="23" t="s">
        <v>103</v>
      </c>
      <c r="H37" s="23" t="s">
        <v>113</v>
      </c>
      <c r="I37" s="11" t="s">
        <v>123</v>
      </c>
      <c r="J37" s="24" t="s">
        <v>124</v>
      </c>
      <c r="K37" s="13" t="s">
        <v>125</v>
      </c>
      <c r="L37" s="11" t="s">
        <v>107</v>
      </c>
      <c r="M37" s="27" t="s">
        <v>84</v>
      </c>
      <c r="N37" s="11">
        <v>925</v>
      </c>
      <c r="O37" s="34">
        <v>640</v>
      </c>
      <c r="P37" s="26"/>
      <c r="Q37" s="11" t="s">
        <v>126</v>
      </c>
      <c r="R37" s="11" t="s">
        <v>127</v>
      </c>
      <c r="S37" s="11">
        <v>50</v>
      </c>
      <c r="T37" s="11">
        <v>48</v>
      </c>
      <c r="U37" s="11">
        <v>55</v>
      </c>
      <c r="V37" s="11">
        <v>13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20">
        <v>153</v>
      </c>
      <c r="AF37" s="20" t="s">
        <v>347</v>
      </c>
      <c r="AG37" s="20">
        <v>153</v>
      </c>
    </row>
    <row r="38" spans="1:33" ht="128.25">
      <c r="A38" s="71" t="s">
        <v>128</v>
      </c>
      <c r="B38" s="70"/>
      <c r="C38" s="21" t="s">
        <v>129</v>
      </c>
      <c r="D38" s="11" t="s">
        <v>130</v>
      </c>
      <c r="E38" s="11" t="s">
        <v>131</v>
      </c>
      <c r="F38" s="11" t="s">
        <v>132</v>
      </c>
      <c r="G38" s="23" t="s">
        <v>103</v>
      </c>
      <c r="H38" s="23" t="s">
        <v>113</v>
      </c>
      <c r="I38" s="22" t="s">
        <v>133</v>
      </c>
      <c r="J38" s="29" t="s">
        <v>134</v>
      </c>
      <c r="K38" s="29" t="s">
        <v>135</v>
      </c>
      <c r="L38" s="11" t="s">
        <v>107</v>
      </c>
      <c r="M38" s="27" t="s">
        <v>84</v>
      </c>
      <c r="N38" s="11">
        <v>10405</v>
      </c>
      <c r="O38" s="32">
        <v>5000</v>
      </c>
      <c r="P38" s="26"/>
      <c r="Q38" s="11" t="s">
        <v>136</v>
      </c>
      <c r="R38" s="11" t="s">
        <v>137</v>
      </c>
      <c r="S38" s="11">
        <v>1086</v>
      </c>
      <c r="T38" s="11">
        <v>1126</v>
      </c>
      <c r="U38" s="11">
        <v>1236</v>
      </c>
      <c r="V38" s="11">
        <v>667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20">
        <v>3448</v>
      </c>
      <c r="AF38" s="20" t="s">
        <v>348</v>
      </c>
      <c r="AG38" s="20">
        <v>3448</v>
      </c>
    </row>
    <row r="39" spans="1:33" ht="213.75">
      <c r="A39" s="71" t="s">
        <v>74</v>
      </c>
      <c r="B39" s="70"/>
      <c r="C39" s="21" t="s">
        <v>138</v>
      </c>
      <c r="D39" s="11" t="s">
        <v>139</v>
      </c>
      <c r="E39" s="11" t="s">
        <v>140</v>
      </c>
      <c r="F39" s="11" t="s">
        <v>141</v>
      </c>
      <c r="G39" s="23" t="s">
        <v>103</v>
      </c>
      <c r="H39" s="23" t="s">
        <v>113</v>
      </c>
      <c r="I39" s="22" t="s">
        <v>142</v>
      </c>
      <c r="J39" s="31" t="s">
        <v>143</v>
      </c>
      <c r="K39" s="31" t="s">
        <v>144</v>
      </c>
      <c r="L39" s="11" t="s">
        <v>107</v>
      </c>
      <c r="M39" s="27" t="s">
        <v>84</v>
      </c>
      <c r="N39" s="32">
        <v>9826</v>
      </c>
      <c r="O39" s="32">
        <v>8791</v>
      </c>
      <c r="P39" s="16"/>
      <c r="Q39" s="22" t="s">
        <v>117</v>
      </c>
      <c r="R39" s="11" t="s">
        <v>145</v>
      </c>
      <c r="S39" s="11">
        <v>0</v>
      </c>
      <c r="T39" s="11">
        <v>0</v>
      </c>
      <c r="U39" s="11">
        <v>2526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20">
        <v>2526</v>
      </c>
      <c r="AF39" s="20" t="s">
        <v>349</v>
      </c>
      <c r="AG39" s="20">
        <v>2526</v>
      </c>
    </row>
    <row r="40" spans="1:33" ht="114">
      <c r="A40" s="71" t="s">
        <v>88</v>
      </c>
      <c r="B40" s="70"/>
      <c r="C40" s="21" t="s">
        <v>146</v>
      </c>
      <c r="D40" s="11" t="s">
        <v>147</v>
      </c>
      <c r="E40" s="11" t="s">
        <v>148</v>
      </c>
      <c r="F40" s="11" t="s">
        <v>149</v>
      </c>
      <c r="G40" s="23" t="s">
        <v>103</v>
      </c>
      <c r="H40" s="11" t="s">
        <v>113</v>
      </c>
      <c r="I40" s="22" t="s">
        <v>150</v>
      </c>
      <c r="J40" s="29" t="s">
        <v>151</v>
      </c>
      <c r="K40" s="29" t="s">
        <v>152</v>
      </c>
      <c r="L40" s="11" t="s">
        <v>107</v>
      </c>
      <c r="M40" s="33" t="s">
        <v>84</v>
      </c>
      <c r="N40" s="34">
        <v>1378450</v>
      </c>
      <c r="O40" s="32">
        <v>1190350</v>
      </c>
      <c r="P40" s="16"/>
      <c r="Q40" s="12" t="s">
        <v>153</v>
      </c>
      <c r="R40" s="11" t="s">
        <v>154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20">
        <v>0</v>
      </c>
      <c r="AF40" s="20" t="s">
        <v>350</v>
      </c>
      <c r="AG40" s="20">
        <v>0</v>
      </c>
    </row>
    <row r="41" spans="1:33" ht="128.25">
      <c r="A41" s="71" t="s">
        <v>88</v>
      </c>
      <c r="B41" s="70"/>
      <c r="C41" s="21" t="s">
        <v>155</v>
      </c>
      <c r="D41" s="11" t="s">
        <v>156</v>
      </c>
      <c r="E41" s="11" t="s">
        <v>157</v>
      </c>
      <c r="F41" s="11" t="s">
        <v>158</v>
      </c>
      <c r="G41" s="23" t="s">
        <v>103</v>
      </c>
      <c r="H41" s="11" t="s">
        <v>113</v>
      </c>
      <c r="I41" s="22" t="s">
        <v>159</v>
      </c>
      <c r="J41" s="29" t="s">
        <v>151</v>
      </c>
      <c r="K41" s="29" t="s">
        <v>160</v>
      </c>
      <c r="L41" s="11" t="s">
        <v>107</v>
      </c>
      <c r="M41" s="33" t="s">
        <v>84</v>
      </c>
      <c r="N41" s="32">
        <v>26296</v>
      </c>
      <c r="O41" s="32">
        <v>26292</v>
      </c>
      <c r="P41" s="16"/>
      <c r="Q41" s="12" t="s">
        <v>153</v>
      </c>
      <c r="R41" s="11" t="s">
        <v>161</v>
      </c>
      <c r="S41" s="11">
        <v>0</v>
      </c>
      <c r="T41" s="11">
        <v>0</v>
      </c>
      <c r="U41" s="11">
        <v>6573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20">
        <v>6573</v>
      </c>
      <c r="AF41" s="20" t="s">
        <v>351</v>
      </c>
      <c r="AG41" s="20">
        <v>6573</v>
      </c>
    </row>
    <row r="42" spans="1:33" ht="156.75">
      <c r="A42" s="71" t="s">
        <v>88</v>
      </c>
      <c r="B42" s="70"/>
      <c r="C42" s="21" t="s">
        <v>162</v>
      </c>
      <c r="D42" s="11" t="s">
        <v>163</v>
      </c>
      <c r="E42" s="11" t="s">
        <v>164</v>
      </c>
      <c r="F42" s="11" t="s">
        <v>165</v>
      </c>
      <c r="G42" s="23" t="s">
        <v>103</v>
      </c>
      <c r="H42" s="11" t="s">
        <v>113</v>
      </c>
      <c r="I42" s="22" t="s">
        <v>150</v>
      </c>
      <c r="J42" s="29" t="s">
        <v>151</v>
      </c>
      <c r="K42" s="29" t="s">
        <v>152</v>
      </c>
      <c r="L42" s="11" t="s">
        <v>107</v>
      </c>
      <c r="M42" s="33" t="s">
        <v>84</v>
      </c>
      <c r="N42" s="34">
        <v>4560</v>
      </c>
      <c r="O42" s="32">
        <v>4020</v>
      </c>
      <c r="P42" s="16"/>
      <c r="Q42" s="12" t="s">
        <v>153</v>
      </c>
      <c r="R42" s="11" t="s">
        <v>166</v>
      </c>
      <c r="S42" s="11">
        <v>0</v>
      </c>
      <c r="T42" s="11">
        <v>0</v>
      </c>
      <c r="U42" s="11">
        <v>1005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20">
        <v>1005</v>
      </c>
      <c r="AF42" s="20" t="s">
        <v>351</v>
      </c>
      <c r="AG42" s="20">
        <v>1005</v>
      </c>
    </row>
    <row r="43" spans="1:33" ht="114">
      <c r="A43" s="71" t="s">
        <v>128</v>
      </c>
      <c r="B43" s="70"/>
      <c r="C43" s="21" t="s">
        <v>167</v>
      </c>
      <c r="D43" s="11" t="s">
        <v>168</v>
      </c>
      <c r="E43" s="11" t="s">
        <v>169</v>
      </c>
      <c r="F43" s="11" t="s">
        <v>170</v>
      </c>
      <c r="G43" s="23" t="s">
        <v>103</v>
      </c>
      <c r="H43" s="11" t="s">
        <v>113</v>
      </c>
      <c r="I43" s="11" t="s">
        <v>171</v>
      </c>
      <c r="J43" s="29" t="s">
        <v>172</v>
      </c>
      <c r="K43" s="29" t="s">
        <v>173</v>
      </c>
      <c r="L43" s="11" t="s">
        <v>107</v>
      </c>
      <c r="M43" s="33" t="s">
        <v>84</v>
      </c>
      <c r="N43" s="34">
        <v>7997</v>
      </c>
      <c r="O43" s="32">
        <v>6000</v>
      </c>
      <c r="P43" s="16"/>
      <c r="Q43" s="11" t="s">
        <v>174</v>
      </c>
      <c r="R43" s="11" t="s">
        <v>175</v>
      </c>
      <c r="S43" s="11">
        <v>669</v>
      </c>
      <c r="T43" s="11">
        <v>562</v>
      </c>
      <c r="U43" s="11">
        <v>709</v>
      </c>
      <c r="V43" s="11">
        <v>297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20">
        <v>1940</v>
      </c>
      <c r="AF43" s="20" t="s">
        <v>352</v>
      </c>
      <c r="AG43" s="20">
        <v>1940</v>
      </c>
    </row>
    <row r="44" spans="1:33" ht="128.25">
      <c r="A44" s="71" t="s">
        <v>74</v>
      </c>
      <c r="B44" s="70"/>
      <c r="C44" s="21" t="s">
        <v>176</v>
      </c>
      <c r="D44" s="11" t="s">
        <v>177</v>
      </c>
      <c r="E44" s="11" t="s">
        <v>178</v>
      </c>
      <c r="F44" s="11" t="s">
        <v>179</v>
      </c>
      <c r="G44" s="11" t="s">
        <v>103</v>
      </c>
      <c r="H44" s="11" t="s">
        <v>113</v>
      </c>
      <c r="I44" s="11" t="s">
        <v>180</v>
      </c>
      <c r="J44" s="11" t="s">
        <v>181</v>
      </c>
      <c r="K44" s="11">
        <v>4</v>
      </c>
      <c r="L44" s="11" t="s">
        <v>182</v>
      </c>
      <c r="M44" s="11" t="s">
        <v>183</v>
      </c>
      <c r="N44" s="11">
        <v>2676</v>
      </c>
      <c r="O44" s="11">
        <v>2550</v>
      </c>
      <c r="P44" s="11"/>
      <c r="Q44" s="11" t="s">
        <v>184</v>
      </c>
      <c r="R44" s="11" t="s">
        <v>185</v>
      </c>
      <c r="S44" s="11">
        <v>654</v>
      </c>
      <c r="T44" s="11">
        <v>914</v>
      </c>
      <c r="U44" s="11">
        <v>724</v>
      </c>
      <c r="V44" s="11">
        <v>678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20">
        <v>2292</v>
      </c>
      <c r="AF44" s="20">
        <v>573</v>
      </c>
      <c r="AG44" s="20">
        <v>764</v>
      </c>
    </row>
    <row r="45" spans="1:33" ht="128.25">
      <c r="A45" s="71" t="s">
        <v>88</v>
      </c>
      <c r="B45" s="70"/>
      <c r="C45" s="21" t="s">
        <v>186</v>
      </c>
      <c r="D45" s="11" t="s">
        <v>187</v>
      </c>
      <c r="E45" s="11" t="s">
        <v>188</v>
      </c>
      <c r="F45" s="11" t="s">
        <v>189</v>
      </c>
      <c r="G45" s="11" t="s">
        <v>103</v>
      </c>
      <c r="H45" s="11" t="s">
        <v>113</v>
      </c>
      <c r="I45" s="11" t="s">
        <v>190</v>
      </c>
      <c r="J45" s="11" t="s">
        <v>191</v>
      </c>
      <c r="K45" s="11" t="s">
        <v>192</v>
      </c>
      <c r="L45" s="11" t="s">
        <v>107</v>
      </c>
      <c r="M45" s="11" t="s">
        <v>84</v>
      </c>
      <c r="N45" s="11" t="s">
        <v>85</v>
      </c>
      <c r="O45" s="11">
        <v>15000</v>
      </c>
      <c r="P45" s="11"/>
      <c r="Q45" s="11" t="s">
        <v>184</v>
      </c>
      <c r="R45" s="11" t="s">
        <v>185</v>
      </c>
      <c r="S45" s="11">
        <v>1336</v>
      </c>
      <c r="T45" s="11">
        <v>1635</v>
      </c>
      <c r="U45" s="11">
        <v>1178</v>
      </c>
      <c r="V45" s="11">
        <v>819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20">
        <v>4149</v>
      </c>
      <c r="AF45" s="20" t="s">
        <v>353</v>
      </c>
      <c r="AG45" s="20">
        <v>4149</v>
      </c>
    </row>
    <row r="46" spans="1:33" ht="128.25">
      <c r="A46" s="71" t="s">
        <v>88</v>
      </c>
      <c r="B46" s="70"/>
      <c r="C46" s="21" t="s">
        <v>193</v>
      </c>
      <c r="D46" s="11" t="s">
        <v>194</v>
      </c>
      <c r="E46" s="11" t="s">
        <v>195</v>
      </c>
      <c r="F46" s="11" t="s">
        <v>196</v>
      </c>
      <c r="G46" s="23" t="s">
        <v>103</v>
      </c>
      <c r="H46" s="11" t="s">
        <v>113</v>
      </c>
      <c r="I46" s="22" t="s">
        <v>197</v>
      </c>
      <c r="J46" s="29" t="s">
        <v>198</v>
      </c>
      <c r="K46" s="29" t="s">
        <v>199</v>
      </c>
      <c r="L46" s="11" t="s">
        <v>107</v>
      </c>
      <c r="M46" s="33" t="s">
        <v>84</v>
      </c>
      <c r="N46" s="34">
        <v>28995</v>
      </c>
      <c r="O46" s="32">
        <v>29000</v>
      </c>
      <c r="P46" s="16"/>
      <c r="Q46" s="12" t="s">
        <v>200</v>
      </c>
      <c r="R46" s="11" t="s">
        <v>201</v>
      </c>
      <c r="S46" s="11">
        <v>1527</v>
      </c>
      <c r="T46" s="11">
        <v>4190</v>
      </c>
      <c r="U46" s="11">
        <v>1152</v>
      </c>
      <c r="V46" s="11">
        <v>1286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20">
        <v>6869</v>
      </c>
      <c r="AF46" s="20" t="s">
        <v>354</v>
      </c>
      <c r="AG46" s="20">
        <v>6869</v>
      </c>
    </row>
    <row r="47" spans="1:33" ht="185.25">
      <c r="A47" s="71" t="s">
        <v>74</v>
      </c>
      <c r="B47" s="70"/>
      <c r="C47" s="21" t="s">
        <v>202</v>
      </c>
      <c r="D47" s="11" t="s">
        <v>203</v>
      </c>
      <c r="E47" s="11" t="s">
        <v>204</v>
      </c>
      <c r="F47" s="11" t="s">
        <v>205</v>
      </c>
      <c r="G47" s="23" t="s">
        <v>103</v>
      </c>
      <c r="H47" s="11" t="s">
        <v>113</v>
      </c>
      <c r="I47" s="11" t="s">
        <v>206</v>
      </c>
      <c r="J47" s="29" t="s">
        <v>207</v>
      </c>
      <c r="K47" s="29">
        <v>4</v>
      </c>
      <c r="L47" s="11" t="s">
        <v>182</v>
      </c>
      <c r="M47" s="33" t="s">
        <v>183</v>
      </c>
      <c r="N47" s="11" t="s">
        <v>85</v>
      </c>
      <c r="O47" s="34">
        <v>1500</v>
      </c>
      <c r="P47" s="16"/>
      <c r="Q47" s="12" t="s">
        <v>117</v>
      </c>
      <c r="R47" s="11" t="s">
        <v>208</v>
      </c>
      <c r="S47" s="11">
        <v>510</v>
      </c>
      <c r="T47" s="11">
        <v>510</v>
      </c>
      <c r="U47" s="11">
        <v>510</v>
      </c>
      <c r="V47" s="11">
        <v>510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20">
        <v>1530</v>
      </c>
      <c r="AF47" s="20">
        <v>382.5</v>
      </c>
      <c r="AG47" s="20">
        <v>510</v>
      </c>
    </row>
    <row r="48" spans="1:33" ht="185.25">
      <c r="A48" s="71" t="s">
        <v>88</v>
      </c>
      <c r="B48" s="70"/>
      <c r="C48" s="21" t="s">
        <v>209</v>
      </c>
      <c r="D48" s="11" t="s">
        <v>210</v>
      </c>
      <c r="E48" s="11" t="s">
        <v>211</v>
      </c>
      <c r="F48" s="11" t="s">
        <v>212</v>
      </c>
      <c r="G48" s="23" t="s">
        <v>103</v>
      </c>
      <c r="H48" s="11" t="s">
        <v>113</v>
      </c>
      <c r="I48" s="22" t="s">
        <v>213</v>
      </c>
      <c r="J48" s="29" t="s">
        <v>214</v>
      </c>
      <c r="K48" s="29" t="s">
        <v>215</v>
      </c>
      <c r="L48" s="11" t="s">
        <v>107</v>
      </c>
      <c r="M48" s="33" t="s">
        <v>84</v>
      </c>
      <c r="N48" s="34">
        <v>203457</v>
      </c>
      <c r="O48" s="34">
        <v>224400</v>
      </c>
      <c r="P48" s="16"/>
      <c r="Q48" s="12" t="s">
        <v>117</v>
      </c>
      <c r="R48" s="11" t="s">
        <v>208</v>
      </c>
      <c r="S48" s="11">
        <v>22440</v>
      </c>
      <c r="T48" s="11">
        <v>19380</v>
      </c>
      <c r="U48" s="11">
        <v>23460</v>
      </c>
      <c r="V48" s="11">
        <v>10200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20">
        <v>65280</v>
      </c>
      <c r="AF48" s="20" t="s">
        <v>355</v>
      </c>
      <c r="AG48" s="20">
        <v>65280</v>
      </c>
    </row>
    <row r="49" spans="1:33" ht="114">
      <c r="A49" s="71" t="s">
        <v>74</v>
      </c>
      <c r="B49" s="70"/>
      <c r="C49" s="21" t="s">
        <v>216</v>
      </c>
      <c r="D49" s="35" t="s">
        <v>217</v>
      </c>
      <c r="E49" s="35" t="s">
        <v>218</v>
      </c>
      <c r="F49" s="35" t="s">
        <v>219</v>
      </c>
      <c r="G49" s="36" t="s">
        <v>103</v>
      </c>
      <c r="H49" s="35" t="s">
        <v>113</v>
      </c>
      <c r="I49" s="35" t="s">
        <v>220</v>
      </c>
      <c r="J49" s="37" t="s">
        <v>221</v>
      </c>
      <c r="K49" s="37">
        <v>4</v>
      </c>
      <c r="L49" s="11" t="s">
        <v>182</v>
      </c>
      <c r="M49" s="38" t="s">
        <v>183</v>
      </c>
      <c r="N49" s="39" t="s">
        <v>85</v>
      </c>
      <c r="O49" s="39">
        <v>4500</v>
      </c>
      <c r="P49" s="41"/>
      <c r="Q49" s="11" t="s">
        <v>222</v>
      </c>
      <c r="R49" s="11" t="s">
        <v>223</v>
      </c>
      <c r="S49" s="11">
        <v>1558</v>
      </c>
      <c r="T49" s="11">
        <v>1711</v>
      </c>
      <c r="U49" s="11">
        <v>1813</v>
      </c>
      <c r="V49" s="11">
        <v>1440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20">
        <v>5082</v>
      </c>
      <c r="AF49" s="20">
        <v>1270.5</v>
      </c>
      <c r="AG49" s="20">
        <v>1694</v>
      </c>
    </row>
    <row r="50" spans="1:33" ht="114">
      <c r="A50" s="71" t="s">
        <v>88</v>
      </c>
      <c r="B50" s="70"/>
      <c r="C50" s="21" t="s">
        <v>224</v>
      </c>
      <c r="D50" s="11" t="s">
        <v>225</v>
      </c>
      <c r="E50" s="11" t="s">
        <v>226</v>
      </c>
      <c r="F50" s="11" t="s">
        <v>227</v>
      </c>
      <c r="G50" s="23" t="s">
        <v>103</v>
      </c>
      <c r="H50" s="11" t="s">
        <v>113</v>
      </c>
      <c r="I50" s="11" t="s">
        <v>228</v>
      </c>
      <c r="J50" s="29" t="s">
        <v>229</v>
      </c>
      <c r="K50" s="29">
        <v>4</v>
      </c>
      <c r="L50" s="11" t="s">
        <v>182</v>
      </c>
      <c r="M50" s="33" t="s">
        <v>183</v>
      </c>
      <c r="N50" s="16"/>
      <c r="O50" s="34">
        <v>780</v>
      </c>
      <c r="P50" s="16"/>
      <c r="Q50" s="11" t="s">
        <v>230</v>
      </c>
      <c r="R50" s="11" t="s">
        <v>231</v>
      </c>
      <c r="S50" s="11">
        <v>276</v>
      </c>
      <c r="T50" s="11">
        <v>307</v>
      </c>
      <c r="U50" s="11">
        <v>293</v>
      </c>
      <c r="V50" s="11">
        <v>261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20">
        <v>876</v>
      </c>
      <c r="AF50" s="20">
        <v>219</v>
      </c>
      <c r="AG50" s="20">
        <v>292</v>
      </c>
    </row>
    <row r="51" spans="1:33" ht="99.75">
      <c r="A51" s="71" t="s">
        <v>74</v>
      </c>
      <c r="B51" s="70"/>
      <c r="C51" s="21" t="s">
        <v>232</v>
      </c>
      <c r="D51" s="11" t="s">
        <v>233</v>
      </c>
      <c r="E51" s="11" t="s">
        <v>234</v>
      </c>
      <c r="F51" s="11" t="s">
        <v>235</v>
      </c>
      <c r="G51" s="23" t="s">
        <v>103</v>
      </c>
      <c r="H51" s="11" t="s">
        <v>113</v>
      </c>
      <c r="I51" s="22" t="s">
        <v>236</v>
      </c>
      <c r="J51" s="29" t="s">
        <v>237</v>
      </c>
      <c r="K51" s="29" t="s">
        <v>238</v>
      </c>
      <c r="L51" s="11" t="s">
        <v>107</v>
      </c>
      <c r="M51" s="33" t="s">
        <v>84</v>
      </c>
      <c r="N51" s="34">
        <v>2037</v>
      </c>
      <c r="O51" s="34">
        <v>2030</v>
      </c>
      <c r="P51" s="16"/>
      <c r="Q51" s="12" t="s">
        <v>239</v>
      </c>
      <c r="R51" s="11" t="s">
        <v>240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20">
        <v>0</v>
      </c>
      <c r="AF51" s="20" t="s">
        <v>350</v>
      </c>
      <c r="AG51" s="20">
        <v>0</v>
      </c>
    </row>
    <row r="52" spans="1:33" ht="99.75">
      <c r="A52" s="72" t="s">
        <v>88</v>
      </c>
      <c r="B52" s="70"/>
      <c r="C52" s="21" t="s">
        <v>241</v>
      </c>
      <c r="D52" s="11" t="s">
        <v>242</v>
      </c>
      <c r="E52" s="11" t="s">
        <v>243</v>
      </c>
      <c r="F52" s="11" t="s">
        <v>244</v>
      </c>
      <c r="G52" s="23" t="s">
        <v>103</v>
      </c>
      <c r="H52" s="11" t="s">
        <v>113</v>
      </c>
      <c r="I52" s="22" t="s">
        <v>245</v>
      </c>
      <c r="J52" s="29" t="s">
        <v>246</v>
      </c>
      <c r="K52" s="29" t="s">
        <v>247</v>
      </c>
      <c r="L52" s="11" t="s">
        <v>107</v>
      </c>
      <c r="M52" s="33" t="s">
        <v>84</v>
      </c>
      <c r="N52" s="11" t="s">
        <v>85</v>
      </c>
      <c r="O52" s="34">
        <v>1188</v>
      </c>
      <c r="P52" s="16"/>
      <c r="Q52" s="12" t="s">
        <v>248</v>
      </c>
      <c r="R52" s="11" t="s">
        <v>240</v>
      </c>
      <c r="S52" s="11">
        <v>99</v>
      </c>
      <c r="T52" s="11">
        <v>99</v>
      </c>
      <c r="U52" s="11">
        <v>99</v>
      </c>
      <c r="V52" s="11">
        <v>99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20">
        <v>297</v>
      </c>
      <c r="AF52" s="20" t="s">
        <v>351</v>
      </c>
      <c r="AG52" s="20">
        <v>297</v>
      </c>
    </row>
    <row r="53" spans="1:33" ht="99.75">
      <c r="A53" s="90" t="s">
        <v>74</v>
      </c>
      <c r="B53" s="73" t="s">
        <v>98</v>
      </c>
      <c r="C53" s="42" t="s">
        <v>249</v>
      </c>
      <c r="D53" s="11" t="s">
        <v>250</v>
      </c>
      <c r="E53" s="11" t="s">
        <v>339</v>
      </c>
      <c r="F53" s="11" t="s">
        <v>112</v>
      </c>
      <c r="G53" s="11" t="s">
        <v>103</v>
      </c>
      <c r="H53" s="11" t="s">
        <v>79</v>
      </c>
      <c r="I53" s="11" t="s">
        <v>251</v>
      </c>
      <c r="J53" s="29" t="s">
        <v>252</v>
      </c>
      <c r="K53" s="29" t="s">
        <v>253</v>
      </c>
      <c r="L53" s="11" t="s">
        <v>107</v>
      </c>
      <c r="M53" s="11" t="s">
        <v>84</v>
      </c>
      <c r="N53" s="11">
        <v>4431</v>
      </c>
      <c r="O53" s="11">
        <v>5000</v>
      </c>
      <c r="P53" s="16"/>
      <c r="Q53" s="11" t="s">
        <v>254</v>
      </c>
      <c r="R53" s="11" t="s">
        <v>255</v>
      </c>
      <c r="S53" s="11">
        <v>0</v>
      </c>
      <c r="T53" s="11">
        <v>33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20">
        <v>33</v>
      </c>
      <c r="AF53" s="20" t="s">
        <v>356</v>
      </c>
      <c r="AG53" s="20">
        <v>33</v>
      </c>
    </row>
    <row r="54" spans="1:33" ht="199.5">
      <c r="A54" s="70" t="s">
        <v>88</v>
      </c>
      <c r="B54" s="70"/>
      <c r="C54" s="43" t="s">
        <v>256</v>
      </c>
      <c r="D54" s="11" t="s">
        <v>257</v>
      </c>
      <c r="E54" s="11" t="s">
        <v>258</v>
      </c>
      <c r="F54" s="11" t="s">
        <v>259</v>
      </c>
      <c r="G54" s="11" t="s">
        <v>103</v>
      </c>
      <c r="H54" s="11" t="s">
        <v>113</v>
      </c>
      <c r="I54" s="11" t="s">
        <v>260</v>
      </c>
      <c r="J54" s="29" t="s">
        <v>261</v>
      </c>
      <c r="K54" s="29" t="s">
        <v>262</v>
      </c>
      <c r="L54" s="11" t="s">
        <v>107</v>
      </c>
      <c r="M54" s="11" t="s">
        <v>84</v>
      </c>
      <c r="N54" s="11">
        <v>17</v>
      </c>
      <c r="O54" s="11">
        <v>7</v>
      </c>
      <c r="P54" s="26"/>
      <c r="Q54" s="11" t="s">
        <v>263</v>
      </c>
      <c r="R54" s="11" t="s">
        <v>264</v>
      </c>
      <c r="S54" s="11">
        <v>1</v>
      </c>
      <c r="T54" s="11">
        <v>1</v>
      </c>
      <c r="U54" s="11">
        <v>2</v>
      </c>
      <c r="V54" s="11">
        <v>7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20">
        <v>4</v>
      </c>
      <c r="AF54" s="20" t="s">
        <v>357</v>
      </c>
      <c r="AG54" s="20">
        <v>4</v>
      </c>
    </row>
    <row r="55" spans="1:33" ht="142.5">
      <c r="A55" s="90" t="s">
        <v>88</v>
      </c>
      <c r="B55" s="74" t="s">
        <v>98</v>
      </c>
      <c r="C55" s="19" t="s">
        <v>265</v>
      </c>
      <c r="D55" s="11" t="s">
        <v>266</v>
      </c>
      <c r="E55" s="11" t="s">
        <v>267</v>
      </c>
      <c r="F55" s="11" t="s">
        <v>268</v>
      </c>
      <c r="G55" s="11" t="s">
        <v>103</v>
      </c>
      <c r="H55" s="11" t="s">
        <v>79</v>
      </c>
      <c r="I55" s="11" t="s">
        <v>269</v>
      </c>
      <c r="J55" s="44" t="s">
        <v>270</v>
      </c>
      <c r="K55" s="45" t="s">
        <v>271</v>
      </c>
      <c r="L55" s="11" t="s">
        <v>107</v>
      </c>
      <c r="M55" s="11" t="s">
        <v>84</v>
      </c>
      <c r="N55" s="46" t="s">
        <v>85</v>
      </c>
      <c r="O55" s="11">
        <v>1100</v>
      </c>
      <c r="P55" s="16"/>
      <c r="Q55" s="11" t="s">
        <v>272</v>
      </c>
      <c r="R55" s="11" t="s">
        <v>273</v>
      </c>
      <c r="S55" s="11">
        <v>89</v>
      </c>
      <c r="T55" s="11">
        <v>101</v>
      </c>
      <c r="U55" s="11">
        <v>90</v>
      </c>
      <c r="V55" s="11">
        <v>71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20">
        <v>280</v>
      </c>
      <c r="AF55" s="20" t="s">
        <v>358</v>
      </c>
      <c r="AG55" s="20">
        <v>280</v>
      </c>
    </row>
    <row r="56" spans="1:33" ht="156.75">
      <c r="A56" s="69" t="s">
        <v>74</v>
      </c>
      <c r="B56" s="75"/>
      <c r="C56" s="21" t="s">
        <v>274</v>
      </c>
      <c r="D56" s="11" t="s">
        <v>275</v>
      </c>
      <c r="E56" s="11" t="s">
        <v>276</v>
      </c>
      <c r="F56" s="11" t="s">
        <v>277</v>
      </c>
      <c r="G56" s="11" t="s">
        <v>103</v>
      </c>
      <c r="H56" s="11" t="s">
        <v>113</v>
      </c>
      <c r="I56" s="11" t="s">
        <v>278</v>
      </c>
      <c r="J56" s="29" t="s">
        <v>279</v>
      </c>
      <c r="K56" s="29" t="s">
        <v>280</v>
      </c>
      <c r="L56" s="11" t="s">
        <v>107</v>
      </c>
      <c r="M56" s="11" t="s">
        <v>84</v>
      </c>
      <c r="N56" s="46" t="s">
        <v>85</v>
      </c>
      <c r="O56" s="11">
        <v>700</v>
      </c>
      <c r="P56" s="16"/>
      <c r="Q56" s="11" t="s">
        <v>281</v>
      </c>
      <c r="R56" s="11" t="s">
        <v>282</v>
      </c>
      <c r="S56" s="11">
        <v>46</v>
      </c>
      <c r="T56" s="11">
        <v>61</v>
      </c>
      <c r="U56" s="11">
        <v>71</v>
      </c>
      <c r="V56" s="11">
        <v>30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20">
        <v>178</v>
      </c>
      <c r="AF56" s="20" t="s">
        <v>359</v>
      </c>
      <c r="AG56" s="20">
        <v>178</v>
      </c>
    </row>
    <row r="57" spans="1:33" ht="114">
      <c r="A57" s="72" t="s">
        <v>88</v>
      </c>
      <c r="B57" s="75"/>
      <c r="C57" s="21" t="s">
        <v>283</v>
      </c>
      <c r="D57" s="11" t="s">
        <v>284</v>
      </c>
      <c r="E57" s="11" t="s">
        <v>285</v>
      </c>
      <c r="F57" s="11" t="s">
        <v>286</v>
      </c>
      <c r="G57" s="11" t="s">
        <v>103</v>
      </c>
      <c r="H57" s="11" t="s">
        <v>113</v>
      </c>
      <c r="I57" s="11" t="s">
        <v>287</v>
      </c>
      <c r="J57" s="29" t="s">
        <v>288</v>
      </c>
      <c r="K57" s="29" t="s">
        <v>289</v>
      </c>
      <c r="L57" s="11" t="s">
        <v>107</v>
      </c>
      <c r="M57" s="11" t="s">
        <v>84</v>
      </c>
      <c r="N57" s="46" t="s">
        <v>85</v>
      </c>
      <c r="O57" s="11">
        <v>400</v>
      </c>
      <c r="P57" s="106"/>
      <c r="Q57" s="11" t="s">
        <v>290</v>
      </c>
      <c r="R57" s="11" t="s">
        <v>291</v>
      </c>
      <c r="S57" s="11">
        <v>36</v>
      </c>
      <c r="T57" s="11">
        <v>29</v>
      </c>
      <c r="U57" s="11">
        <v>31</v>
      </c>
      <c r="V57" s="11">
        <v>19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20">
        <v>96</v>
      </c>
      <c r="AF57" s="20" t="s">
        <v>360</v>
      </c>
      <c r="AG57" s="20">
        <v>96</v>
      </c>
    </row>
    <row r="58" spans="1:33" ht="142.5">
      <c r="B58" s="73" t="s">
        <v>292</v>
      </c>
      <c r="C58" s="19" t="s">
        <v>293</v>
      </c>
      <c r="D58" s="11" t="s">
        <v>294</v>
      </c>
      <c r="E58" s="11" t="s">
        <v>295</v>
      </c>
      <c r="F58" s="11" t="s">
        <v>296</v>
      </c>
      <c r="G58" s="11" t="s">
        <v>103</v>
      </c>
      <c r="H58" s="11" t="s">
        <v>79</v>
      </c>
      <c r="I58" s="11" t="s">
        <v>297</v>
      </c>
      <c r="J58" s="29" t="s">
        <v>298</v>
      </c>
      <c r="K58" s="29" t="s">
        <v>299</v>
      </c>
      <c r="L58" s="11" t="s">
        <v>107</v>
      </c>
      <c r="M58" s="11" t="s">
        <v>84</v>
      </c>
      <c r="N58" s="47">
        <v>12</v>
      </c>
      <c r="O58" s="11">
        <v>12</v>
      </c>
      <c r="P58" s="106"/>
      <c r="Q58" s="11" t="s">
        <v>300</v>
      </c>
      <c r="R58" s="11" t="s">
        <v>301</v>
      </c>
      <c r="S58" s="11">
        <v>1</v>
      </c>
      <c r="T58" s="11">
        <v>1</v>
      </c>
      <c r="U58" s="11">
        <v>1</v>
      </c>
      <c r="V58" s="11">
        <v>1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20">
        <v>3</v>
      </c>
      <c r="AF58" s="20" t="s">
        <v>351</v>
      </c>
      <c r="AG58" s="20">
        <v>3</v>
      </c>
    </row>
    <row r="59" spans="1:33" ht="128.25">
      <c r="A59" s="70" t="s">
        <v>74</v>
      </c>
      <c r="B59" s="70"/>
      <c r="C59" s="21" t="s">
        <v>302</v>
      </c>
      <c r="D59" s="11" t="s">
        <v>303</v>
      </c>
      <c r="E59" s="11" t="s">
        <v>304</v>
      </c>
      <c r="F59" s="12" t="s">
        <v>305</v>
      </c>
      <c r="G59" s="11" t="s">
        <v>103</v>
      </c>
      <c r="H59" s="11" t="s">
        <v>113</v>
      </c>
      <c r="I59" s="11" t="s">
        <v>361</v>
      </c>
      <c r="J59" s="29" t="s">
        <v>307</v>
      </c>
      <c r="K59" s="29">
        <v>4</v>
      </c>
      <c r="L59" s="11" t="s">
        <v>182</v>
      </c>
      <c r="M59" s="11" t="s">
        <v>183</v>
      </c>
      <c r="N59" s="46" t="s">
        <v>85</v>
      </c>
      <c r="O59" s="11">
        <v>990</v>
      </c>
      <c r="P59" s="16"/>
      <c r="Q59" s="11" t="s">
        <v>308</v>
      </c>
      <c r="R59" s="11" t="s">
        <v>309</v>
      </c>
      <c r="S59" s="11">
        <v>82</v>
      </c>
      <c r="T59" s="11">
        <v>84</v>
      </c>
      <c r="U59" s="11">
        <v>77</v>
      </c>
      <c r="V59" s="11">
        <v>62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20">
        <v>243</v>
      </c>
      <c r="AF59" s="20">
        <v>60.8</v>
      </c>
      <c r="AG59" s="20">
        <v>81</v>
      </c>
    </row>
    <row r="60" spans="1:33" ht="171.75">
      <c r="A60" s="70" t="s">
        <v>88</v>
      </c>
      <c r="B60" s="70"/>
      <c r="C60" s="21" t="s">
        <v>310</v>
      </c>
      <c r="D60" s="76" t="s">
        <v>311</v>
      </c>
      <c r="E60" s="77" t="s">
        <v>312</v>
      </c>
      <c r="F60" s="78" t="s">
        <v>313</v>
      </c>
      <c r="G60" s="77" t="s">
        <v>103</v>
      </c>
      <c r="H60" s="77" t="s">
        <v>113</v>
      </c>
      <c r="I60" s="78" t="s">
        <v>314</v>
      </c>
      <c r="J60" s="79" t="s">
        <v>315</v>
      </c>
      <c r="K60" s="80" t="s">
        <v>316</v>
      </c>
      <c r="L60" s="78" t="s">
        <v>107</v>
      </c>
      <c r="M60" s="78" t="s">
        <v>84</v>
      </c>
      <c r="N60" s="81" t="s">
        <v>85</v>
      </c>
      <c r="O60" s="78">
        <v>1800</v>
      </c>
      <c r="P60" s="107"/>
      <c r="Q60" s="77" t="s">
        <v>317</v>
      </c>
      <c r="R60" s="77" t="s">
        <v>309</v>
      </c>
      <c r="S60" s="11">
        <v>155</v>
      </c>
      <c r="T60" s="11">
        <v>164</v>
      </c>
      <c r="U60" s="11">
        <v>207</v>
      </c>
      <c r="V60" s="11">
        <v>170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20">
        <v>526</v>
      </c>
      <c r="AF60" s="20" t="s">
        <v>362</v>
      </c>
      <c r="AG60" s="20">
        <v>526</v>
      </c>
    </row>
    <row r="61" spans="1:33" ht="15.75">
      <c r="A61" s="83"/>
      <c r="B61" s="84"/>
      <c r="S61" s="89"/>
    </row>
    <row r="62" spans="1:33" ht="15.75">
      <c r="D62" s="85"/>
      <c r="E62" s="85"/>
      <c r="F62" s="85"/>
      <c r="G62" s="85"/>
      <c r="H62" s="85"/>
    </row>
    <row r="63" spans="1:33" ht="15.75">
      <c r="D63" s="85"/>
      <c r="E63" s="85"/>
      <c r="F63" s="85"/>
      <c r="G63" s="85"/>
      <c r="H63" s="85"/>
    </row>
    <row r="64" spans="1:33" ht="15.75">
      <c r="D64" s="85"/>
      <c r="E64" s="85"/>
      <c r="F64" s="85"/>
      <c r="G64" s="85"/>
      <c r="H64" s="85"/>
    </row>
    <row r="65" spans="4:8" ht="15.75">
      <c r="D65" s="85"/>
      <c r="E65" s="85"/>
      <c r="F65" s="85"/>
      <c r="G65" s="85"/>
      <c r="H65" s="85"/>
    </row>
    <row r="66" spans="4:8" ht="15.75">
      <c r="D66" s="85"/>
      <c r="E66" s="85"/>
      <c r="F66" s="85"/>
      <c r="G66" s="85"/>
      <c r="H66" s="85"/>
    </row>
    <row r="67" spans="4:8" ht="15.75">
      <c r="D67" s="85"/>
      <c r="E67" s="85"/>
      <c r="F67" s="85"/>
      <c r="G67" s="85"/>
      <c r="H67" s="85"/>
    </row>
    <row r="68" spans="4:8" ht="15.75">
      <c r="D68" s="85"/>
      <c r="E68" s="85"/>
      <c r="F68" s="85"/>
      <c r="G68" s="85"/>
      <c r="H68" s="85"/>
    </row>
    <row r="69" spans="4:8" ht="15.75">
      <c r="D69" s="85"/>
      <c r="E69" s="85"/>
      <c r="F69" s="85"/>
      <c r="G69" s="85"/>
      <c r="H69" s="85"/>
    </row>
    <row r="70" spans="4:8" ht="15.75">
      <c r="D70" s="85"/>
      <c r="E70" s="85"/>
      <c r="F70" s="85"/>
      <c r="G70" s="85"/>
      <c r="H70" s="85"/>
    </row>
    <row r="71" spans="4:8" ht="15.75">
      <c r="D71" s="85"/>
      <c r="E71" s="85"/>
      <c r="F71" s="85"/>
      <c r="G71" s="85"/>
      <c r="H71" s="85"/>
    </row>
    <row r="72" spans="4:8" ht="15.75">
      <c r="D72" s="85"/>
      <c r="E72" s="85"/>
      <c r="F72" s="85"/>
      <c r="G72" s="85"/>
      <c r="H72" s="85"/>
    </row>
    <row r="73" spans="4:8" ht="15.75">
      <c r="D73" s="85"/>
      <c r="E73" s="85"/>
      <c r="F73" s="85"/>
      <c r="G73" s="85"/>
      <c r="H73" s="85"/>
    </row>
    <row r="74" spans="4:8" ht="15.75">
      <c r="D74" s="85"/>
      <c r="E74" s="85"/>
      <c r="F74" s="85"/>
      <c r="G74" s="85"/>
      <c r="H74" s="85"/>
    </row>
    <row r="75" spans="4:8" ht="15.75">
      <c r="D75" s="85"/>
      <c r="E75" s="85"/>
      <c r="F75" s="85"/>
      <c r="G75" s="85"/>
      <c r="H75" s="85"/>
    </row>
    <row r="76" spans="4:8" ht="15.75">
      <c r="D76" s="85"/>
      <c r="E76" s="85"/>
      <c r="F76" s="85"/>
      <c r="G76" s="85"/>
      <c r="H76" s="85"/>
    </row>
    <row r="77" spans="4:8" ht="15.75">
      <c r="D77" s="85"/>
      <c r="E77" s="85"/>
      <c r="F77" s="85"/>
      <c r="G77" s="85"/>
      <c r="H77" s="85"/>
    </row>
    <row r="78" spans="4:8" ht="15.75">
      <c r="D78" s="85"/>
      <c r="E78" s="85"/>
      <c r="F78" s="85"/>
      <c r="G78" s="85"/>
      <c r="H78" s="85"/>
    </row>
    <row r="79" spans="4:8" ht="15.75">
      <c r="D79" s="85"/>
      <c r="E79" s="85"/>
      <c r="F79" s="85"/>
      <c r="G79" s="85"/>
      <c r="H79" s="85"/>
    </row>
    <row r="80" spans="4:8" ht="15.75">
      <c r="D80" s="85"/>
      <c r="E80" s="85"/>
      <c r="F80" s="85"/>
      <c r="G80" s="85"/>
      <c r="H80" s="85"/>
    </row>
    <row r="81" spans="4:8" ht="15.75">
      <c r="D81" s="85"/>
      <c r="E81" s="85"/>
      <c r="F81" s="85"/>
      <c r="G81" s="85"/>
      <c r="H81" s="85"/>
    </row>
    <row r="82" spans="4:8" ht="15.75">
      <c r="D82" s="85"/>
      <c r="E82" s="85"/>
      <c r="F82" s="85"/>
      <c r="G82" s="85"/>
      <c r="H82" s="85"/>
    </row>
    <row r="83" spans="4:8" ht="15.75">
      <c r="D83" s="85"/>
      <c r="E83" s="85"/>
      <c r="F83" s="85"/>
      <c r="G83" s="85"/>
      <c r="H83" s="85"/>
    </row>
    <row r="84" spans="4:8" ht="15.75">
      <c r="D84" s="85"/>
      <c r="E84" s="85"/>
      <c r="F84" s="85"/>
      <c r="G84" s="85"/>
      <c r="H84" s="85"/>
    </row>
    <row r="85" spans="4:8" ht="15.75">
      <c r="D85" s="85"/>
      <c r="E85" s="85"/>
      <c r="F85" s="85"/>
      <c r="G85" s="85"/>
      <c r="H85" s="85"/>
    </row>
    <row r="86" spans="4:8" ht="15.75">
      <c r="D86" s="85"/>
      <c r="E86" s="85"/>
      <c r="F86" s="85"/>
      <c r="G86" s="85"/>
      <c r="H86" s="85"/>
    </row>
    <row r="87" spans="4:8" ht="15.75">
      <c r="D87" s="85"/>
      <c r="E87" s="85"/>
      <c r="F87" s="85"/>
      <c r="G87" s="85"/>
      <c r="H87" s="85"/>
    </row>
    <row r="88" spans="4:8" ht="15.75">
      <c r="D88" s="85"/>
      <c r="E88" s="85"/>
      <c r="F88" s="85"/>
      <c r="G88" s="85"/>
      <c r="H88" s="85"/>
    </row>
    <row r="89" spans="4:8" ht="15.75">
      <c r="D89" s="85"/>
      <c r="E89" s="85"/>
      <c r="F89" s="85"/>
      <c r="G89" s="85"/>
      <c r="H89" s="85"/>
    </row>
    <row r="90" spans="4:8" ht="15.75">
      <c r="D90" s="85"/>
      <c r="E90" s="85"/>
      <c r="F90" s="85"/>
      <c r="G90" s="85"/>
      <c r="H90" s="85"/>
    </row>
    <row r="91" spans="4:8" ht="15.75">
      <c r="D91" s="85"/>
      <c r="E91" s="85"/>
      <c r="F91" s="85"/>
      <c r="G91" s="85"/>
      <c r="H91" s="85"/>
    </row>
    <row r="92" spans="4:8" ht="15.75">
      <c r="D92" s="85"/>
      <c r="E92" s="85"/>
      <c r="F92" s="85"/>
      <c r="G92" s="85"/>
      <c r="H92" s="85"/>
    </row>
    <row r="93" spans="4:8" ht="15.75">
      <c r="D93" s="85"/>
      <c r="E93" s="85"/>
      <c r="F93" s="85"/>
      <c r="G93" s="85"/>
      <c r="H93" s="85"/>
    </row>
    <row r="94" spans="4:8" ht="15.75">
      <c r="D94" s="85"/>
      <c r="E94" s="85"/>
      <c r="F94" s="85"/>
      <c r="G94" s="85"/>
      <c r="H94" s="85"/>
    </row>
    <row r="95" spans="4:8" ht="15.75">
      <c r="D95" s="85"/>
      <c r="E95" s="85"/>
      <c r="F95" s="85"/>
      <c r="G95" s="85"/>
      <c r="H95" s="85"/>
    </row>
    <row r="96" spans="4:8" ht="15.75">
      <c r="D96" s="85"/>
      <c r="E96" s="85"/>
      <c r="F96" s="85"/>
      <c r="G96" s="85"/>
      <c r="H96" s="85"/>
    </row>
    <row r="97" spans="4:8" ht="15.75">
      <c r="D97" s="85"/>
      <c r="E97" s="85"/>
      <c r="F97" s="85"/>
      <c r="G97" s="85"/>
      <c r="H97" s="85"/>
    </row>
    <row r="98" spans="4:8" ht="15.75">
      <c r="D98" s="85"/>
      <c r="E98" s="85"/>
      <c r="F98" s="85"/>
      <c r="G98" s="85"/>
      <c r="H98" s="85"/>
    </row>
    <row r="99" spans="4:8" ht="15.75">
      <c r="D99" s="85"/>
      <c r="E99" s="85"/>
      <c r="F99" s="85"/>
      <c r="G99" s="85"/>
      <c r="H99" s="85"/>
    </row>
    <row r="100" spans="4:8" ht="15.75">
      <c r="D100" s="85"/>
      <c r="E100" s="85"/>
      <c r="F100" s="85"/>
      <c r="G100" s="85"/>
      <c r="H100" s="85"/>
    </row>
    <row r="101" spans="4:8" ht="15.75">
      <c r="D101" s="85"/>
      <c r="E101" s="85"/>
      <c r="F101" s="85"/>
      <c r="G101" s="85"/>
      <c r="H101" s="85"/>
    </row>
    <row r="102" spans="4:8" ht="15.75">
      <c r="D102" s="85"/>
      <c r="E102" s="85"/>
      <c r="F102" s="85"/>
      <c r="G102" s="85"/>
      <c r="H102" s="85"/>
    </row>
    <row r="103" spans="4:8" ht="15.75">
      <c r="D103" s="85"/>
      <c r="E103" s="85"/>
      <c r="F103" s="85"/>
      <c r="G103" s="85"/>
      <c r="H103" s="85"/>
    </row>
    <row r="104" spans="4:8" ht="15.75">
      <c r="D104" s="85"/>
      <c r="E104" s="85"/>
      <c r="F104" s="85"/>
      <c r="G104" s="85"/>
      <c r="H104" s="85"/>
    </row>
    <row r="105" spans="4:8" ht="15.75">
      <c r="D105" s="85"/>
      <c r="E105" s="85"/>
      <c r="F105" s="85"/>
      <c r="G105" s="85"/>
      <c r="H105" s="85"/>
    </row>
    <row r="106" spans="4:8" ht="15.75">
      <c r="D106" s="85"/>
      <c r="E106" s="85"/>
      <c r="F106" s="85"/>
      <c r="G106" s="85"/>
      <c r="H106" s="85"/>
    </row>
    <row r="107" spans="4:8" ht="15.75">
      <c r="D107" s="85"/>
      <c r="E107" s="85"/>
      <c r="F107" s="85"/>
      <c r="G107" s="85"/>
      <c r="H107" s="85"/>
    </row>
    <row r="108" spans="4:8" ht="15.75">
      <c r="D108" s="85"/>
      <c r="E108" s="85"/>
      <c r="F108" s="85"/>
      <c r="G108" s="85"/>
      <c r="H108" s="85"/>
    </row>
    <row r="109" spans="4:8" ht="15.75">
      <c r="D109" s="85"/>
      <c r="E109" s="85"/>
      <c r="F109" s="85"/>
      <c r="G109" s="85"/>
      <c r="H109" s="85"/>
    </row>
    <row r="110" spans="4:8" ht="15.75">
      <c r="D110" s="85"/>
      <c r="E110" s="85"/>
      <c r="F110" s="85"/>
      <c r="G110" s="85"/>
      <c r="H110" s="85"/>
    </row>
    <row r="111" spans="4:8" ht="15.75">
      <c r="D111" s="85"/>
      <c r="E111" s="85"/>
      <c r="F111" s="85"/>
      <c r="G111" s="85"/>
      <c r="H111" s="85"/>
    </row>
    <row r="112" spans="4:8" ht="15.75">
      <c r="D112" s="85"/>
      <c r="E112" s="85"/>
      <c r="F112" s="85"/>
      <c r="G112" s="85"/>
      <c r="H112" s="85"/>
    </row>
    <row r="113" spans="3:20" ht="15.75">
      <c r="D113" s="85"/>
      <c r="E113" s="85"/>
      <c r="F113" s="85"/>
      <c r="G113" s="85"/>
      <c r="H113" s="85"/>
    </row>
    <row r="114" spans="3:20" ht="15.75">
      <c r="D114" s="85"/>
      <c r="E114" s="85"/>
      <c r="F114" s="85"/>
      <c r="G114" s="85"/>
      <c r="H114" s="85"/>
    </row>
    <row r="115" spans="3:20" ht="15.75">
      <c r="D115" s="85"/>
      <c r="E115" s="85"/>
      <c r="F115" s="85"/>
      <c r="G115" s="85"/>
      <c r="H115" s="85"/>
    </row>
    <row r="116" spans="3:20" ht="15.75">
      <c r="D116" s="85"/>
      <c r="E116" s="85"/>
      <c r="F116" s="85"/>
      <c r="G116" s="85"/>
      <c r="H116" s="85"/>
    </row>
    <row r="117" spans="3:20" ht="15.75">
      <c r="D117" s="85"/>
      <c r="E117" s="85"/>
      <c r="F117" s="85"/>
      <c r="G117" s="85"/>
      <c r="H117" s="85"/>
    </row>
    <row r="118" spans="3:20" ht="15.75">
      <c r="D118" s="85"/>
      <c r="E118" s="85"/>
      <c r="F118" s="85"/>
      <c r="G118" s="85"/>
      <c r="H118" s="85"/>
    </row>
    <row r="119" spans="3:20" ht="15.75">
      <c r="D119" s="85"/>
      <c r="E119" s="85"/>
      <c r="F119" s="85"/>
      <c r="G119" s="85"/>
      <c r="H119" s="85"/>
    </row>
    <row r="120" spans="3:20" ht="15.75">
      <c r="D120" s="85"/>
      <c r="E120" s="85"/>
      <c r="F120" s="85"/>
      <c r="G120" s="85"/>
      <c r="H120" s="85"/>
    </row>
    <row r="121" spans="3:20" ht="15.75">
      <c r="D121" s="85"/>
      <c r="E121" s="85"/>
      <c r="F121" s="85"/>
      <c r="G121" s="85"/>
      <c r="H121" s="85"/>
    </row>
    <row r="122" spans="3:20" ht="15.75">
      <c r="D122" s="85"/>
      <c r="E122" s="85"/>
      <c r="F122" s="85"/>
      <c r="G122" s="85"/>
      <c r="H122" s="85"/>
    </row>
    <row r="123" spans="3:20" ht="15.75">
      <c r="D123" s="85"/>
      <c r="E123" s="85"/>
      <c r="F123" s="85"/>
      <c r="G123" s="85"/>
      <c r="H123" s="85"/>
    </row>
    <row r="124" spans="3:20" ht="15.75">
      <c r="D124" s="85"/>
      <c r="E124" s="85"/>
      <c r="F124" s="85"/>
      <c r="G124" s="85"/>
      <c r="H124" s="85"/>
    </row>
    <row r="125" spans="3:20" ht="15.75">
      <c r="D125" s="85"/>
      <c r="E125" s="85"/>
      <c r="F125" s="85"/>
      <c r="G125" s="85"/>
      <c r="H125" s="85"/>
    </row>
    <row r="126" spans="3:20" ht="15.75">
      <c r="D126" s="85"/>
      <c r="E126" s="85"/>
      <c r="F126" s="85"/>
      <c r="G126" s="85"/>
      <c r="H126" s="85"/>
    </row>
    <row r="127" spans="3:20" ht="15.75">
      <c r="C127" s="48" t="s">
        <v>318</v>
      </c>
      <c r="D127" s="173"/>
      <c r="E127" s="174"/>
      <c r="F127" s="174"/>
      <c r="G127" s="175"/>
      <c r="H127" s="57" t="s">
        <v>7</v>
      </c>
      <c r="I127" s="168" t="s">
        <v>319</v>
      </c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8"/>
    </row>
    <row r="128" spans="3:20" ht="15.75">
      <c r="C128" s="2" t="s">
        <v>320</v>
      </c>
      <c r="D128" s="169"/>
      <c r="E128" s="157"/>
      <c r="F128" s="157"/>
      <c r="G128" s="158"/>
      <c r="H128" s="57" t="s">
        <v>7</v>
      </c>
      <c r="I128" s="86" t="s">
        <v>321</v>
      </c>
      <c r="J128" s="87" t="s">
        <v>322</v>
      </c>
      <c r="K128" s="87" t="s">
        <v>323</v>
      </c>
      <c r="L128" s="87" t="s">
        <v>324</v>
      </c>
      <c r="M128" s="87" t="s">
        <v>325</v>
      </c>
      <c r="N128" s="87" t="s">
        <v>326</v>
      </c>
      <c r="O128" s="87" t="s">
        <v>327</v>
      </c>
      <c r="P128" s="87" t="s">
        <v>328</v>
      </c>
      <c r="Q128" s="87" t="s">
        <v>329</v>
      </c>
      <c r="R128" s="87" t="s">
        <v>330</v>
      </c>
      <c r="S128" s="87" t="s">
        <v>331</v>
      </c>
      <c r="T128" s="87" t="s">
        <v>332</v>
      </c>
    </row>
    <row r="129" spans="3:20" ht="15.75">
      <c r="C129" s="2" t="s">
        <v>333</v>
      </c>
      <c r="D129" s="169"/>
      <c r="E129" s="157"/>
      <c r="F129" s="157"/>
      <c r="G129" s="158"/>
      <c r="H129" s="57" t="s">
        <v>7</v>
      </c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</row>
    <row r="130" spans="3:20" ht="15.75">
      <c r="C130" s="21" t="s">
        <v>334</v>
      </c>
      <c r="D130" s="170"/>
      <c r="E130" s="157"/>
      <c r="F130" s="157"/>
      <c r="G130" s="158"/>
      <c r="H130" s="85"/>
      <c r="I130" s="89"/>
      <c r="J130" s="89"/>
      <c r="K130" s="89"/>
      <c r="L130" s="89"/>
      <c r="M130" s="89"/>
      <c r="N130" s="89"/>
      <c r="O130" s="89"/>
      <c r="P130" s="89"/>
      <c r="Q130" s="89"/>
      <c r="R130" s="89"/>
    </row>
    <row r="131" spans="3:20" ht="15.75">
      <c r="C131" s="2" t="s">
        <v>335</v>
      </c>
      <c r="D131" s="171"/>
      <c r="E131" s="157"/>
      <c r="F131" s="157"/>
      <c r="G131" s="158"/>
      <c r="H131" s="57" t="s">
        <v>7</v>
      </c>
      <c r="I131" s="89"/>
      <c r="J131" s="89"/>
      <c r="K131" s="89"/>
      <c r="L131" s="89"/>
      <c r="M131" s="89"/>
      <c r="N131" s="89"/>
      <c r="O131" s="89"/>
      <c r="P131" s="89"/>
      <c r="Q131" s="89"/>
      <c r="R131" s="89"/>
    </row>
    <row r="132" spans="3:20" ht="31.5">
      <c r="C132" s="2" t="s">
        <v>336</v>
      </c>
      <c r="D132" s="169"/>
      <c r="E132" s="157"/>
      <c r="F132" s="157"/>
      <c r="G132" s="158"/>
      <c r="H132" s="85"/>
      <c r="I132" s="89"/>
      <c r="J132" s="89"/>
      <c r="K132" s="89"/>
      <c r="L132" s="89"/>
      <c r="M132" s="89"/>
      <c r="N132" s="89"/>
      <c r="O132" s="89"/>
      <c r="P132" s="89"/>
      <c r="Q132" s="89"/>
      <c r="R132" s="89"/>
    </row>
    <row r="133" spans="3:20" ht="31.5">
      <c r="C133" s="2" t="s">
        <v>337</v>
      </c>
      <c r="D133" s="172"/>
      <c r="E133" s="157"/>
      <c r="F133" s="157"/>
      <c r="G133" s="158"/>
      <c r="H133" s="85"/>
      <c r="I133" s="89"/>
      <c r="J133" s="89"/>
      <c r="K133" s="89"/>
      <c r="L133" s="89"/>
      <c r="M133" s="89"/>
      <c r="N133" s="89"/>
      <c r="O133" s="89"/>
      <c r="P133" s="89"/>
      <c r="Q133" s="89"/>
      <c r="R133" s="89"/>
    </row>
    <row r="134" spans="3:20" ht="15.75">
      <c r="D134" s="85"/>
      <c r="E134" s="85"/>
      <c r="F134" s="85"/>
      <c r="G134" s="85"/>
      <c r="H134" s="85"/>
    </row>
    <row r="135" spans="3:20" ht="15.75">
      <c r="D135" s="85"/>
      <c r="E135" s="85"/>
      <c r="F135" s="85"/>
      <c r="G135" s="85"/>
      <c r="H135" s="85"/>
    </row>
    <row r="136" spans="3:20" ht="15.75">
      <c r="D136" s="85"/>
      <c r="E136" s="85"/>
      <c r="F136" s="85"/>
      <c r="G136" s="85"/>
      <c r="H136" s="85"/>
    </row>
    <row r="137" spans="3:20" ht="15.75">
      <c r="D137" s="85"/>
      <c r="E137" s="85"/>
      <c r="F137" s="85"/>
      <c r="G137" s="85"/>
      <c r="H137" s="85"/>
    </row>
    <row r="138" spans="3:20" ht="15.75">
      <c r="D138" s="85"/>
      <c r="E138" s="85"/>
      <c r="F138" s="85"/>
      <c r="G138" s="85"/>
      <c r="H138" s="85"/>
    </row>
    <row r="139" spans="3:20" ht="15.75">
      <c r="D139" s="85"/>
      <c r="E139" s="85"/>
      <c r="F139" s="85"/>
      <c r="G139" s="85"/>
      <c r="H139" s="85"/>
    </row>
    <row r="140" spans="3:20" ht="15.75">
      <c r="D140" s="85"/>
      <c r="E140" s="85"/>
      <c r="F140" s="85"/>
      <c r="G140" s="85"/>
      <c r="H140" s="85"/>
    </row>
    <row r="141" spans="3:20" ht="15.75">
      <c r="D141" s="85"/>
      <c r="E141" s="85"/>
      <c r="F141" s="85"/>
      <c r="G141" s="85"/>
      <c r="H141" s="85"/>
    </row>
    <row r="142" spans="3:20" ht="15.75">
      <c r="D142" s="85"/>
      <c r="E142" s="85"/>
      <c r="F142" s="85"/>
      <c r="G142" s="85"/>
      <c r="H142" s="85"/>
    </row>
    <row r="143" spans="3:20" ht="15.75">
      <c r="D143" s="85"/>
      <c r="E143" s="85"/>
      <c r="F143" s="85"/>
      <c r="G143" s="85"/>
      <c r="H143" s="85"/>
    </row>
    <row r="144" spans="3:20" ht="15.75">
      <c r="D144" s="85"/>
      <c r="E144" s="85"/>
      <c r="F144" s="85"/>
      <c r="G144" s="85"/>
      <c r="H144" s="85"/>
    </row>
    <row r="145" spans="4:8" ht="15.75">
      <c r="D145" s="85"/>
      <c r="E145" s="85"/>
      <c r="F145" s="85"/>
      <c r="G145" s="85"/>
      <c r="H145" s="85"/>
    </row>
    <row r="146" spans="4:8" ht="15.75">
      <c r="D146" s="85"/>
      <c r="E146" s="85"/>
      <c r="F146" s="85"/>
      <c r="G146" s="85"/>
      <c r="H146" s="85"/>
    </row>
    <row r="147" spans="4:8" ht="15.75">
      <c r="D147" s="85"/>
      <c r="E147" s="85"/>
      <c r="F147" s="85"/>
      <c r="G147" s="85"/>
      <c r="H147" s="85"/>
    </row>
    <row r="148" spans="4:8" ht="15.75">
      <c r="D148" s="85"/>
      <c r="E148" s="85"/>
      <c r="F148" s="85"/>
      <c r="G148" s="85"/>
      <c r="H148" s="85"/>
    </row>
    <row r="149" spans="4:8" ht="15.75">
      <c r="D149" s="85"/>
      <c r="E149" s="85"/>
      <c r="F149" s="85"/>
      <c r="G149" s="85"/>
      <c r="H149" s="85"/>
    </row>
    <row r="150" spans="4:8" ht="15.75">
      <c r="D150" s="85"/>
      <c r="E150" s="85"/>
      <c r="F150" s="85"/>
      <c r="G150" s="85"/>
      <c r="H150" s="85"/>
    </row>
    <row r="151" spans="4:8" ht="15.75">
      <c r="D151" s="85"/>
      <c r="E151" s="85"/>
      <c r="F151" s="85"/>
      <c r="G151" s="85"/>
      <c r="H151" s="85"/>
    </row>
    <row r="152" spans="4:8" ht="15.75">
      <c r="D152" s="85"/>
      <c r="E152" s="85"/>
      <c r="F152" s="85"/>
      <c r="G152" s="85"/>
      <c r="H152" s="85"/>
    </row>
    <row r="153" spans="4:8" ht="15.75">
      <c r="D153" s="85"/>
      <c r="E153" s="85"/>
      <c r="F153" s="85"/>
      <c r="G153" s="85"/>
      <c r="H153" s="85"/>
    </row>
    <row r="154" spans="4:8" ht="15.75">
      <c r="D154" s="85"/>
      <c r="E154" s="85"/>
      <c r="F154" s="85"/>
      <c r="G154" s="85"/>
      <c r="H154" s="85"/>
    </row>
    <row r="155" spans="4:8" ht="15.75">
      <c r="D155" s="85"/>
      <c r="E155" s="85"/>
      <c r="F155" s="85"/>
      <c r="G155" s="85"/>
      <c r="H155" s="85"/>
    </row>
    <row r="156" spans="4:8" ht="15.75">
      <c r="D156" s="85"/>
      <c r="E156" s="85"/>
      <c r="F156" s="85"/>
      <c r="G156" s="85"/>
      <c r="H156" s="85"/>
    </row>
    <row r="157" spans="4:8" ht="15.75">
      <c r="D157" s="85"/>
      <c r="E157" s="85"/>
      <c r="F157" s="85"/>
      <c r="G157" s="85"/>
      <c r="H157" s="85"/>
    </row>
    <row r="158" spans="4:8" ht="15.75">
      <c r="D158" s="85"/>
      <c r="E158" s="85"/>
      <c r="F158" s="85"/>
      <c r="G158" s="85"/>
      <c r="H158" s="85"/>
    </row>
    <row r="159" spans="4:8" ht="15.75">
      <c r="D159" s="85"/>
      <c r="E159" s="85"/>
      <c r="F159" s="85"/>
      <c r="G159" s="85"/>
      <c r="H159" s="85"/>
    </row>
    <row r="160" spans="4:8" ht="15.75">
      <c r="D160" s="85"/>
      <c r="E160" s="85"/>
      <c r="F160" s="85"/>
      <c r="G160" s="85"/>
      <c r="H160" s="85"/>
    </row>
    <row r="161" spans="4:8" ht="15.75">
      <c r="D161" s="85"/>
      <c r="E161" s="85"/>
      <c r="F161" s="85"/>
      <c r="G161" s="85"/>
      <c r="H161" s="85"/>
    </row>
    <row r="162" spans="4:8" ht="15.75">
      <c r="D162" s="85"/>
      <c r="E162" s="85"/>
      <c r="F162" s="85"/>
      <c r="G162" s="85"/>
      <c r="H162" s="85"/>
    </row>
    <row r="163" spans="4:8" ht="15.75">
      <c r="D163" s="85"/>
      <c r="E163" s="85"/>
      <c r="F163" s="85"/>
      <c r="G163" s="85"/>
      <c r="H163" s="85"/>
    </row>
    <row r="164" spans="4:8" ht="15.75">
      <c r="D164" s="85"/>
      <c r="E164" s="85"/>
      <c r="F164" s="85"/>
      <c r="G164" s="85"/>
      <c r="H164" s="85"/>
    </row>
    <row r="165" spans="4:8" ht="15.75">
      <c r="D165" s="85"/>
      <c r="E165" s="85"/>
      <c r="F165" s="85"/>
      <c r="G165" s="85"/>
      <c r="H165" s="85"/>
    </row>
    <row r="166" spans="4:8" ht="15.75">
      <c r="D166" s="85"/>
      <c r="E166" s="85"/>
      <c r="F166" s="85"/>
      <c r="G166" s="85"/>
      <c r="H166" s="85"/>
    </row>
    <row r="167" spans="4:8" ht="15.75">
      <c r="D167" s="85"/>
      <c r="E167" s="85"/>
      <c r="F167" s="85"/>
      <c r="G167" s="85"/>
      <c r="H167" s="85"/>
    </row>
    <row r="168" spans="4:8" ht="15.75">
      <c r="D168" s="85"/>
      <c r="E168" s="85"/>
      <c r="F168" s="85"/>
      <c r="G168" s="85"/>
      <c r="H168" s="85"/>
    </row>
    <row r="169" spans="4:8" ht="15.75">
      <c r="D169" s="85"/>
      <c r="E169" s="85"/>
      <c r="F169" s="85"/>
      <c r="G169" s="85"/>
      <c r="H169" s="85"/>
    </row>
    <row r="170" spans="4:8" ht="15.75">
      <c r="D170" s="85"/>
      <c r="E170" s="85"/>
      <c r="F170" s="85"/>
      <c r="G170" s="85"/>
      <c r="H170" s="85"/>
    </row>
    <row r="171" spans="4:8" ht="15.75">
      <c r="D171" s="85"/>
      <c r="E171" s="85"/>
      <c r="F171" s="85"/>
      <c r="G171" s="85"/>
      <c r="H171" s="85"/>
    </row>
    <row r="172" spans="4:8" ht="15.75">
      <c r="D172" s="85"/>
      <c r="E172" s="85"/>
      <c r="F172" s="85"/>
      <c r="G172" s="85"/>
      <c r="H172" s="85"/>
    </row>
    <row r="173" spans="4:8" ht="15.75">
      <c r="D173" s="85"/>
      <c r="E173" s="85"/>
      <c r="F173" s="85"/>
      <c r="G173" s="85"/>
      <c r="H173" s="85"/>
    </row>
    <row r="174" spans="4:8" ht="15.75">
      <c r="D174" s="85"/>
      <c r="E174" s="85"/>
      <c r="F174" s="85"/>
      <c r="G174" s="85"/>
      <c r="H174" s="85"/>
    </row>
    <row r="175" spans="4:8" ht="15.75">
      <c r="D175" s="85"/>
      <c r="E175" s="85"/>
      <c r="F175" s="85"/>
      <c r="G175" s="85"/>
      <c r="H175" s="85"/>
    </row>
    <row r="176" spans="4:8" ht="15.75">
      <c r="D176" s="85"/>
      <c r="E176" s="85"/>
      <c r="F176" s="85"/>
      <c r="G176" s="85"/>
      <c r="H176" s="85"/>
    </row>
    <row r="177" spans="4:8" ht="15.75">
      <c r="D177" s="85"/>
      <c r="E177" s="85"/>
      <c r="F177" s="85"/>
      <c r="G177" s="85"/>
      <c r="H177" s="85"/>
    </row>
    <row r="178" spans="4:8" ht="15.75">
      <c r="D178" s="85"/>
      <c r="E178" s="85"/>
      <c r="F178" s="85"/>
      <c r="G178" s="85"/>
      <c r="H178" s="85"/>
    </row>
    <row r="179" spans="4:8" ht="15.75">
      <c r="D179" s="85"/>
      <c r="E179" s="85"/>
      <c r="F179" s="85"/>
      <c r="G179" s="85"/>
      <c r="H179" s="85"/>
    </row>
    <row r="180" spans="4:8" ht="15.75">
      <c r="D180" s="85"/>
      <c r="E180" s="85"/>
      <c r="F180" s="85"/>
      <c r="G180" s="85"/>
      <c r="H180" s="85"/>
    </row>
    <row r="181" spans="4:8" ht="15.75">
      <c r="D181" s="85"/>
      <c r="E181" s="85"/>
      <c r="F181" s="85"/>
      <c r="G181" s="85"/>
      <c r="H181" s="85"/>
    </row>
    <row r="182" spans="4:8" ht="15.75">
      <c r="D182" s="85"/>
      <c r="E182" s="85"/>
      <c r="F182" s="85"/>
      <c r="G182" s="85"/>
      <c r="H182" s="85"/>
    </row>
    <row r="183" spans="4:8" ht="15.75">
      <c r="D183" s="85"/>
      <c r="E183" s="85"/>
      <c r="F183" s="85"/>
      <c r="G183" s="85"/>
      <c r="H183" s="85"/>
    </row>
    <row r="184" spans="4:8" ht="15.75">
      <c r="D184" s="85"/>
      <c r="E184" s="85"/>
      <c r="F184" s="85"/>
      <c r="G184" s="85"/>
      <c r="H184" s="85"/>
    </row>
    <row r="185" spans="4:8" ht="15.75">
      <c r="D185" s="85"/>
      <c r="E185" s="85"/>
      <c r="F185" s="85"/>
      <c r="G185" s="85"/>
      <c r="H185" s="85"/>
    </row>
    <row r="186" spans="4:8" ht="15.75">
      <c r="D186" s="85"/>
      <c r="E186" s="85"/>
      <c r="F186" s="85"/>
      <c r="G186" s="85"/>
      <c r="H186" s="85"/>
    </row>
    <row r="187" spans="4:8" ht="15.75">
      <c r="D187" s="85"/>
      <c r="E187" s="85"/>
      <c r="F187" s="85"/>
      <c r="G187" s="85"/>
      <c r="H187" s="85"/>
    </row>
    <row r="188" spans="4:8" ht="15.75">
      <c r="D188" s="85"/>
      <c r="E188" s="85"/>
      <c r="F188" s="85"/>
      <c r="G188" s="85"/>
      <c r="H188" s="85"/>
    </row>
    <row r="189" spans="4:8" ht="15.75">
      <c r="D189" s="85"/>
      <c r="E189" s="85"/>
      <c r="F189" s="85"/>
      <c r="G189" s="85"/>
      <c r="H189" s="85"/>
    </row>
    <row r="190" spans="4:8" ht="15.75">
      <c r="D190" s="85"/>
      <c r="E190" s="85"/>
      <c r="F190" s="85"/>
      <c r="G190" s="85"/>
      <c r="H190" s="85"/>
    </row>
    <row r="191" spans="4:8" ht="15.75">
      <c r="D191" s="85"/>
      <c r="E191" s="85"/>
      <c r="F191" s="85"/>
      <c r="G191" s="85"/>
      <c r="H191" s="85"/>
    </row>
    <row r="192" spans="4:8" ht="15.75">
      <c r="D192" s="85"/>
      <c r="E192" s="85"/>
      <c r="F192" s="85"/>
      <c r="G192" s="85"/>
      <c r="H192" s="85"/>
    </row>
    <row r="193" spans="4:8" ht="15.75">
      <c r="D193" s="85"/>
      <c r="E193" s="85"/>
      <c r="F193" s="85"/>
      <c r="G193" s="85"/>
      <c r="H193" s="85"/>
    </row>
    <row r="194" spans="4:8" ht="15.75">
      <c r="D194" s="85"/>
      <c r="E194" s="85"/>
      <c r="F194" s="85"/>
      <c r="G194" s="85"/>
      <c r="H194" s="85"/>
    </row>
    <row r="195" spans="4:8" ht="15.75">
      <c r="D195" s="85"/>
      <c r="E195" s="85"/>
      <c r="F195" s="85"/>
      <c r="G195" s="85"/>
      <c r="H195" s="85"/>
    </row>
    <row r="196" spans="4:8" ht="15.75">
      <c r="D196" s="85"/>
      <c r="E196" s="85"/>
      <c r="F196" s="85"/>
      <c r="G196" s="85"/>
      <c r="H196" s="85"/>
    </row>
    <row r="197" spans="4:8" ht="15.75">
      <c r="D197" s="85"/>
      <c r="E197" s="85"/>
      <c r="F197" s="85"/>
      <c r="G197" s="85"/>
      <c r="H197" s="85"/>
    </row>
    <row r="198" spans="4:8" ht="15.75">
      <c r="D198" s="85"/>
      <c r="E198" s="85"/>
      <c r="F198" s="85"/>
      <c r="G198" s="85"/>
      <c r="H198" s="85"/>
    </row>
    <row r="199" spans="4:8" ht="15.75">
      <c r="D199" s="85"/>
      <c r="E199" s="85"/>
      <c r="F199" s="85"/>
      <c r="G199" s="85"/>
      <c r="H199" s="85"/>
    </row>
    <row r="200" spans="4:8" ht="15.75">
      <c r="D200" s="85"/>
      <c r="E200" s="85"/>
      <c r="F200" s="85"/>
      <c r="G200" s="85"/>
      <c r="H200" s="85"/>
    </row>
    <row r="201" spans="4:8" ht="15.75">
      <c r="D201" s="85"/>
      <c r="E201" s="85"/>
      <c r="F201" s="85"/>
      <c r="G201" s="85"/>
      <c r="H201" s="85"/>
    </row>
    <row r="202" spans="4:8" ht="15.75">
      <c r="D202" s="85"/>
      <c r="E202" s="85"/>
      <c r="F202" s="85"/>
      <c r="G202" s="85"/>
      <c r="H202" s="85"/>
    </row>
    <row r="203" spans="4:8" ht="15.75">
      <c r="D203" s="85"/>
      <c r="E203" s="85"/>
      <c r="F203" s="85"/>
      <c r="G203" s="85"/>
      <c r="H203" s="85"/>
    </row>
    <row r="204" spans="4:8" ht="15.75">
      <c r="D204" s="85"/>
      <c r="E204" s="85"/>
      <c r="F204" s="85"/>
      <c r="G204" s="85"/>
      <c r="H204" s="85"/>
    </row>
    <row r="205" spans="4:8" ht="15.75">
      <c r="D205" s="85"/>
      <c r="E205" s="85"/>
      <c r="F205" s="85"/>
      <c r="G205" s="85"/>
      <c r="H205" s="85"/>
    </row>
    <row r="206" spans="4:8" ht="15.75">
      <c r="D206" s="85"/>
      <c r="E206" s="85"/>
      <c r="F206" s="85"/>
      <c r="G206" s="85"/>
      <c r="H206" s="85"/>
    </row>
    <row r="207" spans="4:8" ht="15.75">
      <c r="D207" s="85"/>
      <c r="E207" s="85"/>
      <c r="F207" s="85"/>
      <c r="G207" s="85"/>
      <c r="H207" s="85"/>
    </row>
    <row r="208" spans="4:8" ht="15.75">
      <c r="D208" s="85"/>
      <c r="E208" s="85"/>
      <c r="F208" s="85"/>
      <c r="G208" s="85"/>
      <c r="H208" s="85"/>
    </row>
    <row r="209" spans="4:8" ht="15.75">
      <c r="D209" s="85"/>
      <c r="E209" s="85"/>
      <c r="F209" s="85"/>
      <c r="G209" s="85"/>
      <c r="H209" s="85"/>
    </row>
    <row r="210" spans="4:8" ht="15.75">
      <c r="D210" s="85"/>
      <c r="E210" s="85"/>
      <c r="F210" s="85"/>
      <c r="G210" s="85"/>
      <c r="H210" s="85"/>
    </row>
    <row r="211" spans="4:8" ht="15.75">
      <c r="D211" s="85"/>
      <c r="E211" s="85"/>
      <c r="F211" s="85"/>
      <c r="G211" s="85"/>
      <c r="H211" s="85"/>
    </row>
    <row r="212" spans="4:8" ht="15.75">
      <c r="D212" s="85"/>
      <c r="E212" s="85"/>
      <c r="F212" s="85"/>
      <c r="G212" s="85"/>
      <c r="H212" s="85"/>
    </row>
    <row r="213" spans="4:8" ht="15.75">
      <c r="D213" s="85"/>
      <c r="E213" s="85"/>
      <c r="F213" s="85"/>
      <c r="G213" s="85"/>
      <c r="H213" s="85"/>
    </row>
    <row r="214" spans="4:8" ht="15.75">
      <c r="D214" s="85"/>
      <c r="E214" s="85"/>
      <c r="F214" s="85"/>
      <c r="G214" s="85"/>
      <c r="H214" s="85"/>
    </row>
    <row r="215" spans="4:8" ht="15.75">
      <c r="D215" s="85"/>
      <c r="E215" s="85"/>
      <c r="F215" s="85"/>
      <c r="G215" s="85"/>
      <c r="H215" s="85"/>
    </row>
    <row r="216" spans="4:8" ht="15.75">
      <c r="D216" s="85"/>
      <c r="E216" s="85"/>
      <c r="F216" s="85"/>
      <c r="G216" s="85"/>
      <c r="H216" s="85"/>
    </row>
    <row r="217" spans="4:8" ht="15.75">
      <c r="D217" s="85"/>
      <c r="E217" s="85"/>
      <c r="F217" s="85"/>
      <c r="G217" s="85"/>
      <c r="H217" s="85"/>
    </row>
    <row r="218" spans="4:8" ht="15.75">
      <c r="D218" s="85"/>
      <c r="E218" s="85"/>
      <c r="F218" s="85"/>
      <c r="G218" s="85"/>
      <c r="H218" s="85"/>
    </row>
    <row r="219" spans="4:8" ht="15.75">
      <c r="D219" s="85"/>
      <c r="E219" s="85"/>
      <c r="F219" s="85"/>
      <c r="G219" s="85"/>
      <c r="H219" s="85"/>
    </row>
    <row r="220" spans="4:8" ht="15.75">
      <c r="D220" s="85"/>
      <c r="E220" s="85"/>
      <c r="F220" s="85"/>
      <c r="G220" s="85"/>
      <c r="H220" s="85"/>
    </row>
    <row r="221" spans="4:8" ht="15.75">
      <c r="D221" s="85"/>
      <c r="E221" s="85"/>
      <c r="F221" s="85"/>
      <c r="G221" s="85"/>
      <c r="H221" s="85"/>
    </row>
    <row r="222" spans="4:8" ht="15.75">
      <c r="D222" s="85"/>
      <c r="E222" s="85"/>
      <c r="F222" s="85"/>
      <c r="G222" s="85"/>
      <c r="H222" s="85"/>
    </row>
    <row r="223" spans="4:8" ht="15.75">
      <c r="D223" s="85"/>
      <c r="E223" s="85"/>
      <c r="F223" s="85"/>
      <c r="G223" s="85"/>
      <c r="H223" s="85"/>
    </row>
    <row r="224" spans="4:8" ht="15.75">
      <c r="D224" s="85"/>
      <c r="E224" s="85"/>
      <c r="F224" s="85"/>
      <c r="G224" s="85"/>
      <c r="H224" s="85"/>
    </row>
    <row r="225" spans="4:8" ht="15.75">
      <c r="D225" s="85"/>
      <c r="E225" s="85"/>
      <c r="F225" s="85"/>
      <c r="G225" s="85"/>
      <c r="H225" s="85"/>
    </row>
    <row r="226" spans="4:8" ht="15.75">
      <c r="D226" s="85"/>
      <c r="E226" s="85"/>
      <c r="F226" s="85"/>
      <c r="G226" s="85"/>
      <c r="H226" s="85"/>
    </row>
    <row r="227" spans="4:8" ht="15.75">
      <c r="D227" s="85"/>
      <c r="E227" s="85"/>
      <c r="F227" s="85"/>
      <c r="G227" s="85"/>
      <c r="H227" s="85"/>
    </row>
    <row r="228" spans="4:8" ht="15.75">
      <c r="D228" s="85"/>
      <c r="E228" s="85"/>
      <c r="F228" s="85"/>
      <c r="G228" s="85"/>
      <c r="H228" s="85"/>
    </row>
    <row r="229" spans="4:8" ht="15.75">
      <c r="D229" s="85"/>
      <c r="E229" s="85"/>
      <c r="F229" s="85"/>
      <c r="G229" s="85"/>
      <c r="H229" s="85"/>
    </row>
    <row r="230" spans="4:8" ht="15.75">
      <c r="D230" s="85"/>
      <c r="E230" s="85"/>
      <c r="F230" s="85"/>
      <c r="G230" s="85"/>
      <c r="H230" s="85"/>
    </row>
    <row r="231" spans="4:8" ht="15.75">
      <c r="D231" s="85"/>
      <c r="E231" s="85"/>
      <c r="F231" s="85"/>
      <c r="G231" s="85"/>
      <c r="H231" s="85"/>
    </row>
    <row r="232" spans="4:8" ht="15.75">
      <c r="D232" s="85"/>
      <c r="E232" s="85"/>
      <c r="F232" s="85"/>
      <c r="G232" s="85"/>
      <c r="H232" s="85"/>
    </row>
    <row r="233" spans="4:8" ht="15.75">
      <c r="D233" s="85"/>
      <c r="E233" s="85"/>
      <c r="F233" s="85"/>
      <c r="G233" s="85"/>
      <c r="H233" s="85"/>
    </row>
    <row r="234" spans="4:8" ht="15.75">
      <c r="D234" s="85"/>
      <c r="E234" s="85"/>
      <c r="F234" s="85"/>
      <c r="G234" s="85"/>
      <c r="H234" s="85"/>
    </row>
    <row r="235" spans="4:8" ht="15.75">
      <c r="D235" s="85"/>
      <c r="E235" s="85"/>
      <c r="F235" s="85"/>
      <c r="G235" s="85"/>
      <c r="H235" s="85"/>
    </row>
    <row r="236" spans="4:8" ht="15.75">
      <c r="D236" s="85"/>
      <c r="E236" s="85"/>
      <c r="F236" s="85"/>
      <c r="G236" s="85"/>
      <c r="H236" s="85"/>
    </row>
    <row r="237" spans="4:8" ht="15.75">
      <c r="D237" s="85"/>
      <c r="E237" s="85"/>
      <c r="F237" s="85"/>
      <c r="G237" s="85"/>
      <c r="H237" s="85"/>
    </row>
    <row r="238" spans="4:8" ht="15.75">
      <c r="D238" s="85"/>
      <c r="E238" s="85"/>
      <c r="F238" s="85"/>
      <c r="G238" s="85"/>
      <c r="H238" s="85"/>
    </row>
    <row r="239" spans="4:8" ht="15.75">
      <c r="D239" s="85"/>
      <c r="E239" s="85"/>
      <c r="F239" s="85"/>
      <c r="G239" s="85"/>
      <c r="H239" s="85"/>
    </row>
    <row r="240" spans="4:8" ht="15.75">
      <c r="D240" s="85"/>
      <c r="E240" s="85"/>
      <c r="F240" s="85"/>
      <c r="G240" s="85"/>
      <c r="H240" s="85"/>
    </row>
    <row r="241" spans="4:8" ht="15.75">
      <c r="D241" s="85"/>
      <c r="E241" s="85"/>
      <c r="F241" s="85"/>
      <c r="G241" s="85"/>
      <c r="H241" s="85"/>
    </row>
    <row r="242" spans="4:8" ht="15.75">
      <c r="D242" s="85"/>
      <c r="E242" s="85"/>
      <c r="F242" s="85"/>
      <c r="G242" s="85"/>
      <c r="H242" s="85"/>
    </row>
    <row r="243" spans="4:8" ht="15.75">
      <c r="D243" s="85"/>
      <c r="E243" s="85"/>
      <c r="F243" s="85"/>
      <c r="G243" s="85"/>
      <c r="H243" s="85"/>
    </row>
    <row r="244" spans="4:8" ht="15.75">
      <c r="D244" s="85"/>
      <c r="E244" s="85"/>
      <c r="F244" s="85"/>
      <c r="G244" s="85"/>
      <c r="H244" s="85"/>
    </row>
    <row r="245" spans="4:8" ht="15.75">
      <c r="D245" s="85"/>
      <c r="E245" s="85"/>
      <c r="F245" s="85"/>
      <c r="G245" s="85"/>
      <c r="H245" s="85"/>
    </row>
    <row r="246" spans="4:8" ht="15.75">
      <c r="D246" s="85"/>
      <c r="E246" s="85"/>
      <c r="F246" s="85"/>
      <c r="G246" s="85"/>
      <c r="H246" s="85"/>
    </row>
    <row r="247" spans="4:8" ht="15.75">
      <c r="D247" s="85"/>
      <c r="E247" s="85"/>
      <c r="F247" s="85"/>
      <c r="G247" s="85"/>
      <c r="H247" s="85"/>
    </row>
    <row r="248" spans="4:8" ht="15.75">
      <c r="D248" s="85"/>
      <c r="E248" s="85"/>
      <c r="F248" s="85"/>
      <c r="G248" s="85"/>
      <c r="H248" s="85"/>
    </row>
    <row r="249" spans="4:8" ht="15.75">
      <c r="D249" s="85"/>
      <c r="E249" s="85"/>
      <c r="F249" s="85"/>
      <c r="G249" s="85"/>
      <c r="H249" s="85"/>
    </row>
    <row r="250" spans="4:8" ht="15.75">
      <c r="D250" s="85"/>
      <c r="E250" s="85"/>
      <c r="F250" s="85"/>
      <c r="G250" s="85"/>
      <c r="H250" s="85"/>
    </row>
    <row r="251" spans="4:8" ht="15.75">
      <c r="D251" s="85"/>
      <c r="E251" s="85"/>
      <c r="F251" s="85"/>
      <c r="G251" s="85"/>
      <c r="H251" s="85"/>
    </row>
    <row r="252" spans="4:8" ht="15.75">
      <c r="D252" s="85"/>
      <c r="E252" s="85"/>
      <c r="F252" s="85"/>
      <c r="G252" s="85"/>
      <c r="H252" s="85"/>
    </row>
    <row r="253" spans="4:8" ht="15.75">
      <c r="D253" s="85"/>
      <c r="E253" s="85"/>
      <c r="F253" s="85"/>
      <c r="G253" s="85"/>
      <c r="H253" s="85"/>
    </row>
    <row r="254" spans="4:8" ht="15.75">
      <c r="D254" s="85"/>
      <c r="E254" s="85"/>
      <c r="F254" s="85"/>
      <c r="G254" s="85"/>
      <c r="H254" s="85"/>
    </row>
    <row r="255" spans="4:8" ht="15.75">
      <c r="D255" s="85"/>
      <c r="E255" s="85"/>
      <c r="F255" s="85"/>
      <c r="G255" s="85"/>
      <c r="H255" s="85"/>
    </row>
    <row r="256" spans="4:8" ht="15.75">
      <c r="D256" s="85"/>
      <c r="E256" s="85"/>
      <c r="F256" s="85"/>
      <c r="G256" s="85"/>
      <c r="H256" s="85"/>
    </row>
    <row r="257" spans="4:8" ht="15.75">
      <c r="D257" s="85"/>
      <c r="E257" s="85"/>
      <c r="F257" s="85"/>
      <c r="G257" s="85"/>
      <c r="H257" s="85"/>
    </row>
    <row r="258" spans="4:8" ht="15.75">
      <c r="D258" s="85"/>
      <c r="E258" s="85"/>
      <c r="F258" s="85"/>
      <c r="G258" s="85"/>
      <c r="H258" s="85"/>
    </row>
    <row r="259" spans="4:8" ht="15.75">
      <c r="D259" s="85"/>
      <c r="E259" s="85"/>
      <c r="F259" s="85"/>
      <c r="G259" s="85"/>
      <c r="H259" s="85"/>
    </row>
    <row r="260" spans="4:8" ht="15.75">
      <c r="D260" s="85"/>
      <c r="E260" s="85"/>
      <c r="F260" s="85"/>
      <c r="G260" s="85"/>
      <c r="H260" s="85"/>
    </row>
    <row r="261" spans="4:8" ht="15.75">
      <c r="D261" s="85"/>
      <c r="E261" s="85"/>
      <c r="F261" s="85"/>
      <c r="G261" s="85"/>
      <c r="H261" s="85"/>
    </row>
    <row r="262" spans="4:8" ht="15.75">
      <c r="D262" s="85"/>
      <c r="E262" s="85"/>
      <c r="F262" s="85"/>
      <c r="G262" s="85"/>
      <c r="H262" s="85"/>
    </row>
    <row r="263" spans="4:8" ht="15.75">
      <c r="D263" s="85"/>
      <c r="E263" s="85"/>
      <c r="F263" s="85"/>
      <c r="G263" s="85"/>
      <c r="H263" s="85"/>
    </row>
    <row r="264" spans="4:8" ht="15.75">
      <c r="D264" s="85"/>
      <c r="E264" s="85"/>
      <c r="F264" s="85"/>
      <c r="G264" s="85"/>
      <c r="H264" s="85"/>
    </row>
    <row r="265" spans="4:8" ht="15.75">
      <c r="D265" s="85"/>
      <c r="E265" s="85"/>
      <c r="F265" s="85"/>
      <c r="G265" s="85"/>
      <c r="H265" s="85"/>
    </row>
    <row r="266" spans="4:8" ht="15.75">
      <c r="D266" s="85"/>
      <c r="E266" s="85"/>
      <c r="F266" s="85"/>
      <c r="G266" s="85"/>
      <c r="H266" s="85"/>
    </row>
    <row r="267" spans="4:8" ht="15.75">
      <c r="D267" s="85"/>
      <c r="E267" s="85"/>
      <c r="F267" s="85"/>
      <c r="G267" s="85"/>
      <c r="H267" s="85"/>
    </row>
    <row r="268" spans="4:8" ht="15.75">
      <c r="D268" s="85"/>
      <c r="E268" s="85"/>
      <c r="F268" s="85"/>
      <c r="G268" s="85"/>
      <c r="H268" s="85"/>
    </row>
    <row r="269" spans="4:8" ht="15.75">
      <c r="D269" s="85"/>
      <c r="E269" s="85"/>
      <c r="F269" s="85"/>
      <c r="G269" s="85"/>
      <c r="H269" s="85"/>
    </row>
    <row r="270" spans="4:8" ht="15.75">
      <c r="D270" s="85"/>
      <c r="E270" s="85"/>
      <c r="F270" s="85"/>
      <c r="G270" s="85"/>
      <c r="H270" s="85"/>
    </row>
    <row r="271" spans="4:8" ht="15.75">
      <c r="D271" s="85"/>
      <c r="E271" s="85"/>
      <c r="F271" s="85"/>
      <c r="G271" s="85"/>
      <c r="H271" s="85"/>
    </row>
    <row r="272" spans="4:8" ht="15.75">
      <c r="D272" s="85"/>
      <c r="E272" s="85"/>
      <c r="F272" s="85"/>
      <c r="G272" s="85"/>
      <c r="H272" s="85"/>
    </row>
    <row r="273" spans="4:8" ht="15.75">
      <c r="D273" s="85"/>
      <c r="E273" s="85"/>
      <c r="F273" s="85"/>
      <c r="G273" s="85"/>
      <c r="H273" s="85"/>
    </row>
    <row r="274" spans="4:8" ht="15.75">
      <c r="D274" s="85"/>
      <c r="E274" s="85"/>
      <c r="F274" s="85"/>
      <c r="G274" s="85"/>
      <c r="H274" s="85"/>
    </row>
    <row r="275" spans="4:8" ht="15.75">
      <c r="D275" s="85"/>
      <c r="E275" s="85"/>
      <c r="F275" s="85"/>
      <c r="G275" s="85"/>
      <c r="H275" s="85"/>
    </row>
    <row r="276" spans="4:8" ht="15.75">
      <c r="D276" s="85"/>
      <c r="E276" s="85"/>
      <c r="F276" s="85"/>
      <c r="G276" s="85"/>
      <c r="H276" s="85"/>
    </row>
    <row r="277" spans="4:8" ht="15.75">
      <c r="D277" s="85"/>
      <c r="E277" s="85"/>
      <c r="F277" s="85"/>
      <c r="G277" s="85"/>
      <c r="H277" s="85"/>
    </row>
    <row r="278" spans="4:8" ht="15.75">
      <c r="D278" s="85"/>
      <c r="E278" s="85"/>
      <c r="F278" s="85"/>
      <c r="G278" s="85"/>
      <c r="H278" s="85"/>
    </row>
    <row r="279" spans="4:8" ht="15.75">
      <c r="D279" s="85"/>
      <c r="E279" s="85"/>
      <c r="F279" s="85"/>
      <c r="G279" s="85"/>
      <c r="H279" s="85"/>
    </row>
    <row r="280" spans="4:8" ht="15.75">
      <c r="D280" s="85"/>
      <c r="E280" s="85"/>
      <c r="F280" s="85"/>
      <c r="G280" s="85"/>
      <c r="H280" s="85"/>
    </row>
    <row r="281" spans="4:8" ht="15.75">
      <c r="D281" s="85"/>
      <c r="E281" s="85"/>
      <c r="F281" s="85"/>
      <c r="G281" s="85"/>
      <c r="H281" s="85"/>
    </row>
    <row r="282" spans="4:8" ht="15.75">
      <c r="D282" s="85"/>
      <c r="E282" s="85"/>
      <c r="F282" s="85"/>
      <c r="G282" s="85"/>
      <c r="H282" s="85"/>
    </row>
    <row r="283" spans="4:8" ht="15.75">
      <c r="D283" s="85"/>
      <c r="E283" s="85"/>
      <c r="F283" s="85"/>
      <c r="G283" s="85"/>
      <c r="H283" s="85"/>
    </row>
    <row r="284" spans="4:8" ht="15.75">
      <c r="D284" s="85"/>
      <c r="E284" s="85"/>
      <c r="F284" s="85"/>
      <c r="G284" s="85"/>
      <c r="H284" s="85"/>
    </row>
    <row r="285" spans="4:8" ht="15.75">
      <c r="D285" s="85"/>
      <c r="E285" s="85"/>
      <c r="F285" s="85"/>
      <c r="G285" s="85"/>
      <c r="H285" s="85"/>
    </row>
    <row r="286" spans="4:8" ht="15.75">
      <c r="D286" s="85"/>
      <c r="E286" s="85"/>
      <c r="F286" s="85"/>
      <c r="G286" s="85"/>
      <c r="H286" s="85"/>
    </row>
    <row r="287" spans="4:8" ht="15.75">
      <c r="D287" s="85"/>
      <c r="E287" s="85"/>
      <c r="F287" s="85"/>
      <c r="G287" s="85"/>
      <c r="H287" s="85"/>
    </row>
    <row r="288" spans="4:8" ht="15.75">
      <c r="D288" s="85"/>
      <c r="E288" s="85"/>
      <c r="F288" s="85"/>
      <c r="G288" s="85"/>
      <c r="H288" s="85"/>
    </row>
    <row r="289" spans="4:8" ht="15.75">
      <c r="D289" s="85"/>
      <c r="E289" s="85"/>
      <c r="F289" s="85"/>
      <c r="G289" s="85"/>
      <c r="H289" s="85"/>
    </row>
    <row r="290" spans="4:8" ht="15.75">
      <c r="D290" s="85"/>
      <c r="E290" s="85"/>
      <c r="F290" s="85"/>
      <c r="G290" s="85"/>
      <c r="H290" s="85"/>
    </row>
    <row r="291" spans="4:8" ht="15.75">
      <c r="D291" s="85"/>
      <c r="E291" s="85"/>
      <c r="F291" s="85"/>
      <c r="G291" s="85"/>
      <c r="H291" s="85"/>
    </row>
    <row r="292" spans="4:8" ht="15.75">
      <c r="D292" s="85"/>
      <c r="E292" s="85"/>
      <c r="F292" s="85"/>
      <c r="G292" s="85"/>
      <c r="H292" s="85"/>
    </row>
    <row r="293" spans="4:8" ht="15.75">
      <c r="D293" s="85"/>
      <c r="E293" s="85"/>
      <c r="F293" s="85"/>
      <c r="G293" s="85"/>
      <c r="H293" s="85"/>
    </row>
    <row r="294" spans="4:8" ht="15.75">
      <c r="D294" s="85"/>
      <c r="E294" s="85"/>
      <c r="F294" s="85"/>
      <c r="G294" s="85"/>
      <c r="H294" s="85"/>
    </row>
    <row r="295" spans="4:8" ht="15.75">
      <c r="D295" s="85"/>
      <c r="E295" s="85"/>
      <c r="F295" s="85"/>
      <c r="G295" s="85"/>
      <c r="H295" s="85"/>
    </row>
    <row r="296" spans="4:8" ht="15.75">
      <c r="D296" s="85"/>
      <c r="E296" s="85"/>
      <c r="F296" s="85"/>
      <c r="G296" s="85"/>
      <c r="H296" s="85"/>
    </row>
    <row r="297" spans="4:8" ht="15.75">
      <c r="D297" s="85"/>
      <c r="E297" s="85"/>
      <c r="F297" s="85"/>
      <c r="G297" s="85"/>
      <c r="H297" s="85"/>
    </row>
    <row r="298" spans="4:8" ht="15.75">
      <c r="D298" s="85"/>
      <c r="E298" s="85"/>
      <c r="F298" s="85"/>
      <c r="G298" s="85"/>
      <c r="H298" s="85"/>
    </row>
    <row r="299" spans="4:8" ht="15.75">
      <c r="D299" s="85"/>
      <c r="E299" s="85"/>
      <c r="F299" s="85"/>
      <c r="G299" s="85"/>
      <c r="H299" s="85"/>
    </row>
    <row r="300" spans="4:8" ht="15.75">
      <c r="D300" s="85"/>
      <c r="E300" s="85"/>
      <c r="F300" s="85"/>
      <c r="G300" s="85"/>
      <c r="H300" s="85"/>
    </row>
    <row r="301" spans="4:8" ht="15.75">
      <c r="D301" s="85"/>
      <c r="E301" s="85"/>
      <c r="F301" s="85"/>
      <c r="G301" s="85"/>
      <c r="H301" s="85"/>
    </row>
    <row r="302" spans="4:8" ht="15.75">
      <c r="D302" s="85"/>
      <c r="E302" s="85"/>
      <c r="F302" s="85"/>
      <c r="G302" s="85"/>
      <c r="H302" s="85"/>
    </row>
    <row r="303" spans="4:8" ht="15.75">
      <c r="D303" s="85"/>
      <c r="E303" s="85"/>
      <c r="F303" s="85"/>
      <c r="G303" s="85"/>
      <c r="H303" s="85"/>
    </row>
    <row r="304" spans="4:8" ht="15.75">
      <c r="D304" s="85"/>
      <c r="E304" s="85"/>
      <c r="F304" s="85"/>
      <c r="G304" s="85"/>
      <c r="H304" s="85"/>
    </row>
    <row r="305" spans="4:8" ht="15.75">
      <c r="D305" s="85"/>
      <c r="E305" s="85"/>
      <c r="F305" s="85"/>
      <c r="G305" s="85"/>
      <c r="H305" s="85"/>
    </row>
    <row r="306" spans="4:8" ht="15.75">
      <c r="D306" s="85"/>
      <c r="E306" s="85"/>
      <c r="F306" s="85"/>
      <c r="G306" s="85"/>
      <c r="H306" s="85"/>
    </row>
    <row r="307" spans="4:8" ht="15.75">
      <c r="D307" s="85"/>
      <c r="E307" s="85"/>
      <c r="F307" s="85"/>
      <c r="G307" s="85"/>
      <c r="H307" s="85"/>
    </row>
    <row r="308" spans="4:8" ht="15.75">
      <c r="D308" s="85"/>
      <c r="E308" s="85"/>
      <c r="F308" s="85"/>
      <c r="G308" s="85"/>
      <c r="H308" s="85"/>
    </row>
    <row r="309" spans="4:8" ht="15.75">
      <c r="D309" s="85"/>
      <c r="E309" s="85"/>
      <c r="F309" s="85"/>
      <c r="G309" s="85"/>
      <c r="H309" s="85"/>
    </row>
    <row r="310" spans="4:8" ht="15.75">
      <c r="D310" s="85"/>
      <c r="E310" s="85"/>
      <c r="F310" s="85"/>
      <c r="G310" s="85"/>
      <c r="H310" s="85"/>
    </row>
    <row r="311" spans="4:8" ht="15.75">
      <c r="D311" s="85"/>
      <c r="E311" s="85"/>
      <c r="F311" s="85"/>
      <c r="G311" s="85"/>
      <c r="H311" s="85"/>
    </row>
    <row r="312" spans="4:8" ht="15.75">
      <c r="D312" s="85"/>
      <c r="E312" s="85"/>
      <c r="F312" s="85"/>
      <c r="G312" s="85"/>
      <c r="H312" s="85"/>
    </row>
    <row r="313" spans="4:8" ht="15.75">
      <c r="D313" s="85"/>
      <c r="E313" s="85"/>
      <c r="F313" s="85"/>
      <c r="G313" s="85"/>
      <c r="H313" s="85"/>
    </row>
    <row r="314" spans="4:8" ht="15.75">
      <c r="D314" s="85"/>
      <c r="E314" s="85"/>
      <c r="F314" s="85"/>
      <c r="G314" s="85"/>
      <c r="H314" s="85"/>
    </row>
    <row r="315" spans="4:8" ht="15.75">
      <c r="D315" s="85"/>
      <c r="E315" s="85"/>
      <c r="F315" s="85"/>
      <c r="G315" s="85"/>
      <c r="H315" s="85"/>
    </row>
    <row r="316" spans="4:8" ht="15.75">
      <c r="D316" s="85"/>
      <c r="E316" s="85"/>
      <c r="F316" s="85"/>
      <c r="G316" s="85"/>
      <c r="H316" s="85"/>
    </row>
    <row r="317" spans="4:8" ht="15.75">
      <c r="D317" s="85"/>
      <c r="E317" s="85"/>
      <c r="F317" s="85"/>
      <c r="G317" s="85"/>
      <c r="H317" s="85"/>
    </row>
    <row r="318" spans="4:8" ht="15.75">
      <c r="D318" s="85"/>
      <c r="E318" s="85"/>
      <c r="F318" s="85"/>
      <c r="G318" s="85"/>
      <c r="H318" s="85"/>
    </row>
    <row r="319" spans="4:8" ht="15.75">
      <c r="D319" s="85"/>
      <c r="E319" s="85"/>
      <c r="F319" s="85"/>
      <c r="G319" s="85"/>
      <c r="H319" s="85"/>
    </row>
    <row r="320" spans="4:8" ht="15.75">
      <c r="D320" s="85"/>
      <c r="E320" s="85"/>
      <c r="F320" s="85"/>
      <c r="G320" s="85"/>
      <c r="H320" s="85"/>
    </row>
    <row r="321" spans="4:8" ht="15.75">
      <c r="D321" s="85"/>
      <c r="E321" s="85"/>
      <c r="F321" s="85"/>
      <c r="G321" s="85"/>
      <c r="H321" s="85"/>
    </row>
    <row r="322" spans="4:8" ht="15.75">
      <c r="D322" s="85"/>
      <c r="E322" s="85"/>
      <c r="F322" s="85"/>
      <c r="G322" s="85"/>
      <c r="H322" s="85"/>
    </row>
    <row r="323" spans="4:8" ht="15.75">
      <c r="D323" s="85"/>
      <c r="E323" s="85"/>
      <c r="F323" s="85"/>
      <c r="G323" s="85"/>
      <c r="H323" s="85"/>
    </row>
    <row r="324" spans="4:8" ht="15.75">
      <c r="D324" s="85"/>
      <c r="E324" s="85"/>
      <c r="F324" s="85"/>
      <c r="G324" s="85"/>
      <c r="H324" s="85"/>
    </row>
    <row r="325" spans="4:8" ht="15.75">
      <c r="D325" s="85"/>
      <c r="E325" s="85"/>
      <c r="F325" s="85"/>
      <c r="G325" s="85"/>
      <c r="H325" s="85"/>
    </row>
    <row r="326" spans="4:8" ht="15.75">
      <c r="D326" s="85"/>
      <c r="E326" s="85"/>
      <c r="F326" s="85"/>
      <c r="G326" s="85"/>
      <c r="H326" s="85"/>
    </row>
    <row r="327" spans="4:8" ht="15.75">
      <c r="D327" s="85"/>
      <c r="E327" s="85"/>
      <c r="F327" s="85"/>
      <c r="G327" s="85"/>
      <c r="H327" s="85"/>
    </row>
    <row r="328" spans="4:8" ht="15.75">
      <c r="D328" s="85"/>
      <c r="E328" s="85"/>
      <c r="F328" s="85"/>
      <c r="G328" s="85"/>
      <c r="H328" s="85"/>
    </row>
    <row r="329" spans="4:8" ht="15.75">
      <c r="D329" s="85"/>
      <c r="E329" s="85"/>
      <c r="F329" s="85"/>
      <c r="G329" s="85"/>
      <c r="H329" s="85"/>
    </row>
    <row r="330" spans="4:8" ht="15.75">
      <c r="D330" s="85"/>
      <c r="E330" s="85"/>
      <c r="F330" s="85"/>
      <c r="G330" s="85"/>
      <c r="H330" s="85"/>
    </row>
    <row r="331" spans="4:8" ht="15.75">
      <c r="D331" s="85"/>
      <c r="E331" s="85"/>
      <c r="F331" s="85"/>
      <c r="G331" s="85"/>
      <c r="H331" s="85"/>
    </row>
    <row r="332" spans="4:8" ht="15.75">
      <c r="D332" s="85"/>
      <c r="E332" s="85"/>
      <c r="F332" s="85"/>
      <c r="G332" s="85"/>
      <c r="H332" s="85"/>
    </row>
    <row r="333" spans="4:8" ht="15.75">
      <c r="D333" s="85"/>
      <c r="E333" s="85"/>
      <c r="F333" s="85"/>
      <c r="G333" s="85"/>
      <c r="H333" s="85"/>
    </row>
    <row r="334" spans="4:8" ht="15.75">
      <c r="D334" s="85"/>
      <c r="E334" s="85"/>
      <c r="F334" s="85"/>
      <c r="G334" s="85"/>
      <c r="H334" s="85"/>
    </row>
    <row r="335" spans="4:8" ht="15.75">
      <c r="D335" s="85"/>
      <c r="E335" s="85"/>
      <c r="F335" s="85"/>
      <c r="G335" s="85"/>
      <c r="H335" s="85"/>
    </row>
    <row r="336" spans="4:8" ht="15.75">
      <c r="D336" s="85"/>
      <c r="E336" s="85"/>
      <c r="F336" s="85"/>
      <c r="G336" s="85"/>
      <c r="H336" s="85"/>
    </row>
    <row r="337" spans="4:8" ht="15.75">
      <c r="D337" s="85"/>
      <c r="E337" s="85"/>
      <c r="F337" s="85"/>
      <c r="G337" s="85"/>
      <c r="H337" s="85"/>
    </row>
    <row r="338" spans="4:8" ht="15.75">
      <c r="D338" s="85"/>
      <c r="E338" s="85"/>
      <c r="F338" s="85"/>
      <c r="G338" s="85"/>
      <c r="H338" s="85"/>
    </row>
    <row r="339" spans="4:8" ht="15.75">
      <c r="D339" s="85"/>
      <c r="E339" s="85"/>
      <c r="F339" s="85"/>
      <c r="G339" s="85"/>
      <c r="H339" s="85"/>
    </row>
    <row r="340" spans="4:8" ht="15.75">
      <c r="D340" s="85"/>
      <c r="E340" s="85"/>
      <c r="F340" s="85"/>
      <c r="G340" s="85"/>
      <c r="H340" s="85"/>
    </row>
    <row r="341" spans="4:8" ht="15.75">
      <c r="D341" s="85"/>
      <c r="E341" s="85"/>
      <c r="F341" s="85"/>
      <c r="G341" s="85"/>
      <c r="H341" s="85"/>
    </row>
    <row r="342" spans="4:8" ht="15.75">
      <c r="D342" s="85"/>
      <c r="E342" s="85"/>
      <c r="F342" s="85"/>
      <c r="G342" s="85"/>
      <c r="H342" s="85"/>
    </row>
    <row r="343" spans="4:8" ht="15.75">
      <c r="D343" s="85"/>
      <c r="E343" s="85"/>
      <c r="F343" s="85"/>
      <c r="G343" s="85"/>
      <c r="H343" s="85"/>
    </row>
    <row r="344" spans="4:8" ht="15.75">
      <c r="D344" s="85"/>
      <c r="E344" s="85"/>
      <c r="F344" s="85"/>
      <c r="G344" s="85"/>
      <c r="H344" s="85"/>
    </row>
    <row r="345" spans="4:8" ht="15.75">
      <c r="D345" s="85"/>
      <c r="E345" s="85"/>
      <c r="F345" s="85"/>
      <c r="G345" s="85"/>
      <c r="H345" s="85"/>
    </row>
    <row r="346" spans="4:8" ht="15.75">
      <c r="D346" s="85"/>
      <c r="E346" s="85"/>
      <c r="F346" s="85"/>
      <c r="G346" s="85"/>
      <c r="H346" s="85"/>
    </row>
    <row r="347" spans="4:8" ht="15.75">
      <c r="D347" s="85"/>
      <c r="E347" s="85"/>
      <c r="F347" s="85"/>
      <c r="G347" s="85"/>
      <c r="H347" s="85"/>
    </row>
    <row r="348" spans="4:8" ht="15.75">
      <c r="D348" s="85"/>
      <c r="E348" s="85"/>
      <c r="F348" s="85"/>
      <c r="G348" s="85"/>
      <c r="H348" s="85"/>
    </row>
    <row r="349" spans="4:8" ht="15.75">
      <c r="D349" s="85"/>
      <c r="E349" s="85"/>
      <c r="F349" s="85"/>
      <c r="G349" s="85"/>
      <c r="H349" s="85"/>
    </row>
    <row r="350" spans="4:8" ht="15.75">
      <c r="D350" s="85"/>
      <c r="E350" s="85"/>
      <c r="F350" s="85"/>
      <c r="G350" s="85"/>
      <c r="H350" s="85"/>
    </row>
    <row r="351" spans="4:8" ht="15.75">
      <c r="D351" s="85"/>
      <c r="E351" s="85"/>
      <c r="F351" s="85"/>
      <c r="G351" s="85"/>
      <c r="H351" s="85"/>
    </row>
    <row r="352" spans="4:8" ht="15.75">
      <c r="D352" s="85"/>
      <c r="E352" s="85"/>
      <c r="F352" s="85"/>
      <c r="G352" s="85"/>
      <c r="H352" s="85"/>
    </row>
    <row r="353" spans="4:8" ht="15.75">
      <c r="D353" s="85"/>
      <c r="E353" s="85"/>
      <c r="F353" s="85"/>
      <c r="G353" s="85"/>
      <c r="H353" s="85"/>
    </row>
    <row r="354" spans="4:8" ht="15.75">
      <c r="D354" s="85"/>
      <c r="E354" s="85"/>
      <c r="F354" s="85"/>
      <c r="G354" s="85"/>
      <c r="H354" s="85"/>
    </row>
    <row r="355" spans="4:8" ht="15.75">
      <c r="D355" s="85"/>
      <c r="E355" s="85"/>
      <c r="F355" s="85"/>
      <c r="G355" s="85"/>
      <c r="H355" s="85"/>
    </row>
    <row r="356" spans="4:8" ht="15.75">
      <c r="D356" s="85"/>
      <c r="E356" s="85"/>
      <c r="F356" s="85"/>
      <c r="G356" s="85"/>
      <c r="H356" s="85"/>
    </row>
    <row r="357" spans="4:8" ht="15.75">
      <c r="D357" s="85"/>
      <c r="E357" s="85"/>
      <c r="F357" s="85"/>
      <c r="G357" s="85"/>
      <c r="H357" s="85"/>
    </row>
    <row r="358" spans="4:8" ht="15.75">
      <c r="D358" s="85"/>
      <c r="E358" s="85"/>
      <c r="F358" s="85"/>
      <c r="G358" s="85"/>
      <c r="H358" s="85"/>
    </row>
    <row r="359" spans="4:8" ht="15.75">
      <c r="D359" s="85"/>
      <c r="E359" s="85"/>
      <c r="F359" s="85"/>
      <c r="G359" s="85"/>
      <c r="H359" s="85"/>
    </row>
    <row r="360" spans="4:8" ht="15.75">
      <c r="D360" s="85"/>
      <c r="E360" s="85"/>
      <c r="F360" s="85"/>
      <c r="G360" s="85"/>
      <c r="H360" s="85"/>
    </row>
    <row r="361" spans="4:8" ht="15.75">
      <c r="D361" s="85"/>
      <c r="E361" s="85"/>
      <c r="F361" s="85"/>
      <c r="G361" s="85"/>
      <c r="H361" s="85"/>
    </row>
    <row r="362" spans="4:8" ht="15.75">
      <c r="D362" s="85"/>
      <c r="E362" s="85"/>
      <c r="F362" s="85"/>
      <c r="G362" s="85"/>
      <c r="H362" s="85"/>
    </row>
    <row r="363" spans="4:8" ht="15.75">
      <c r="D363" s="85"/>
      <c r="E363" s="85"/>
      <c r="F363" s="85"/>
      <c r="G363" s="85"/>
      <c r="H363" s="85"/>
    </row>
    <row r="364" spans="4:8" ht="15.75">
      <c r="D364" s="85"/>
      <c r="E364" s="85"/>
      <c r="F364" s="85"/>
      <c r="G364" s="85"/>
      <c r="H364" s="85"/>
    </row>
    <row r="365" spans="4:8" ht="15.75">
      <c r="D365" s="85"/>
      <c r="E365" s="85"/>
      <c r="F365" s="85"/>
      <c r="G365" s="85"/>
      <c r="H365" s="85"/>
    </row>
    <row r="366" spans="4:8" ht="15.75">
      <c r="D366" s="85"/>
      <c r="E366" s="85"/>
      <c r="F366" s="85"/>
      <c r="G366" s="85"/>
      <c r="H366" s="85"/>
    </row>
    <row r="367" spans="4:8" ht="15.75">
      <c r="D367" s="85"/>
      <c r="E367" s="85"/>
      <c r="F367" s="85"/>
      <c r="G367" s="85"/>
      <c r="H367" s="85"/>
    </row>
    <row r="368" spans="4:8" ht="15.75">
      <c r="D368" s="85"/>
      <c r="E368" s="85"/>
      <c r="F368" s="85"/>
      <c r="G368" s="85"/>
      <c r="H368" s="85"/>
    </row>
    <row r="369" spans="4:8" ht="15.75">
      <c r="D369" s="85"/>
      <c r="E369" s="85"/>
      <c r="F369" s="85"/>
      <c r="G369" s="85"/>
      <c r="H369" s="85"/>
    </row>
    <row r="370" spans="4:8" ht="15.75">
      <c r="D370" s="85"/>
      <c r="E370" s="85"/>
      <c r="F370" s="85"/>
      <c r="G370" s="85"/>
      <c r="H370" s="85"/>
    </row>
    <row r="371" spans="4:8" ht="15.75">
      <c r="D371" s="85"/>
      <c r="E371" s="85"/>
      <c r="F371" s="85"/>
      <c r="G371" s="85"/>
      <c r="H371" s="85"/>
    </row>
    <row r="372" spans="4:8" ht="15.75">
      <c r="D372" s="85"/>
      <c r="E372" s="85"/>
      <c r="F372" s="85"/>
      <c r="G372" s="85"/>
      <c r="H372" s="85"/>
    </row>
    <row r="373" spans="4:8" ht="15.75">
      <c r="D373" s="85"/>
      <c r="E373" s="85"/>
      <c r="F373" s="85"/>
      <c r="G373" s="85"/>
      <c r="H373" s="85"/>
    </row>
    <row r="374" spans="4:8" ht="15.75">
      <c r="D374" s="85"/>
      <c r="E374" s="85"/>
      <c r="F374" s="85"/>
      <c r="G374" s="85"/>
      <c r="H374" s="85"/>
    </row>
    <row r="375" spans="4:8" ht="15.75">
      <c r="D375" s="85"/>
      <c r="E375" s="85"/>
      <c r="F375" s="85"/>
      <c r="G375" s="85"/>
      <c r="H375" s="85"/>
    </row>
    <row r="376" spans="4:8" ht="15.75">
      <c r="D376" s="85"/>
      <c r="E376" s="85"/>
      <c r="F376" s="85"/>
      <c r="G376" s="85"/>
      <c r="H376" s="85"/>
    </row>
    <row r="377" spans="4:8" ht="15.75">
      <c r="D377" s="85"/>
      <c r="E377" s="85"/>
      <c r="F377" s="85"/>
      <c r="G377" s="85"/>
      <c r="H377" s="85"/>
    </row>
    <row r="378" spans="4:8" ht="15.75">
      <c r="D378" s="85"/>
      <c r="E378" s="85"/>
      <c r="F378" s="85"/>
      <c r="G378" s="85"/>
      <c r="H378" s="85"/>
    </row>
    <row r="379" spans="4:8" ht="15.75">
      <c r="D379" s="85"/>
      <c r="E379" s="85"/>
      <c r="F379" s="85"/>
      <c r="G379" s="85"/>
      <c r="H379" s="85"/>
    </row>
    <row r="380" spans="4:8" ht="15.75">
      <c r="D380" s="85"/>
      <c r="E380" s="85"/>
      <c r="F380" s="85"/>
      <c r="G380" s="85"/>
      <c r="H380" s="85"/>
    </row>
    <row r="381" spans="4:8" ht="15.75">
      <c r="D381" s="85"/>
      <c r="E381" s="85"/>
      <c r="F381" s="85"/>
      <c r="G381" s="85"/>
      <c r="H381" s="85"/>
    </row>
    <row r="382" spans="4:8" ht="15.75">
      <c r="D382" s="85"/>
      <c r="E382" s="85"/>
      <c r="F382" s="85"/>
      <c r="G382" s="85"/>
      <c r="H382" s="85"/>
    </row>
    <row r="383" spans="4:8" ht="15.75">
      <c r="D383" s="85"/>
      <c r="E383" s="85"/>
      <c r="F383" s="85"/>
      <c r="G383" s="85"/>
      <c r="H383" s="85"/>
    </row>
    <row r="384" spans="4:8" ht="15.75">
      <c r="D384" s="85"/>
      <c r="E384" s="85"/>
      <c r="F384" s="85"/>
      <c r="G384" s="85"/>
      <c r="H384" s="85"/>
    </row>
    <row r="385" spans="4:8" ht="15.75">
      <c r="D385" s="85"/>
      <c r="E385" s="85"/>
      <c r="F385" s="85"/>
      <c r="G385" s="85"/>
      <c r="H385" s="85"/>
    </row>
    <row r="386" spans="4:8" ht="15.75">
      <c r="D386" s="85"/>
      <c r="E386" s="85"/>
      <c r="F386" s="85"/>
      <c r="G386" s="85"/>
      <c r="H386" s="85"/>
    </row>
    <row r="387" spans="4:8" ht="15.75">
      <c r="D387" s="85"/>
      <c r="E387" s="85"/>
      <c r="F387" s="85"/>
      <c r="G387" s="85"/>
      <c r="H387" s="85"/>
    </row>
    <row r="388" spans="4:8" ht="15.75">
      <c r="D388" s="85"/>
      <c r="E388" s="85"/>
      <c r="F388" s="85"/>
      <c r="G388" s="85"/>
      <c r="H388" s="85"/>
    </row>
    <row r="389" spans="4:8" ht="15.75">
      <c r="D389" s="85"/>
      <c r="E389" s="85"/>
      <c r="F389" s="85"/>
      <c r="G389" s="85"/>
      <c r="H389" s="85"/>
    </row>
    <row r="390" spans="4:8" ht="15.75">
      <c r="D390" s="85"/>
      <c r="E390" s="85"/>
      <c r="F390" s="85"/>
      <c r="G390" s="85"/>
      <c r="H390" s="85"/>
    </row>
    <row r="391" spans="4:8" ht="15.75">
      <c r="D391" s="85"/>
      <c r="E391" s="85"/>
      <c r="F391" s="85"/>
      <c r="G391" s="85"/>
      <c r="H391" s="85"/>
    </row>
    <row r="392" spans="4:8" ht="15.75">
      <c r="D392" s="85"/>
      <c r="E392" s="85"/>
      <c r="F392" s="85"/>
      <c r="G392" s="85"/>
      <c r="H392" s="85"/>
    </row>
    <row r="393" spans="4:8" ht="15.75">
      <c r="D393" s="85"/>
      <c r="E393" s="85"/>
      <c r="F393" s="85"/>
      <c r="G393" s="85"/>
      <c r="H393" s="85"/>
    </row>
    <row r="394" spans="4:8" ht="15.75">
      <c r="D394" s="85"/>
      <c r="E394" s="85"/>
      <c r="F394" s="85"/>
      <c r="G394" s="85"/>
      <c r="H394" s="85"/>
    </row>
    <row r="395" spans="4:8" ht="15.75">
      <c r="D395" s="85"/>
      <c r="E395" s="85"/>
      <c r="F395" s="85"/>
      <c r="G395" s="85"/>
      <c r="H395" s="85"/>
    </row>
    <row r="396" spans="4:8" ht="15.75">
      <c r="D396" s="85"/>
      <c r="E396" s="85"/>
      <c r="F396" s="85"/>
      <c r="G396" s="85"/>
      <c r="H396" s="85"/>
    </row>
    <row r="397" spans="4:8" ht="15.75">
      <c r="D397" s="85"/>
      <c r="E397" s="85"/>
      <c r="F397" s="85"/>
      <c r="G397" s="85"/>
      <c r="H397" s="85"/>
    </row>
    <row r="398" spans="4:8" ht="15.75">
      <c r="D398" s="85"/>
      <c r="E398" s="85"/>
      <c r="F398" s="85"/>
      <c r="G398" s="85"/>
      <c r="H398" s="85"/>
    </row>
    <row r="399" spans="4:8" ht="15.75">
      <c r="D399" s="85"/>
      <c r="E399" s="85"/>
      <c r="F399" s="85"/>
      <c r="G399" s="85"/>
      <c r="H399" s="85"/>
    </row>
    <row r="400" spans="4:8" ht="15.75">
      <c r="D400" s="85"/>
      <c r="E400" s="85"/>
      <c r="F400" s="85"/>
      <c r="G400" s="85"/>
      <c r="H400" s="85"/>
    </row>
    <row r="401" spans="4:8" ht="15.75">
      <c r="D401" s="85"/>
      <c r="E401" s="85"/>
      <c r="F401" s="85"/>
      <c r="G401" s="85"/>
      <c r="H401" s="85"/>
    </row>
    <row r="402" spans="4:8" ht="15.75">
      <c r="D402" s="85"/>
      <c r="E402" s="85"/>
      <c r="F402" s="85"/>
      <c r="G402" s="85"/>
      <c r="H402" s="85"/>
    </row>
    <row r="403" spans="4:8" ht="15.75">
      <c r="D403" s="85"/>
      <c r="E403" s="85"/>
      <c r="F403" s="85"/>
      <c r="G403" s="85"/>
      <c r="H403" s="85"/>
    </row>
    <row r="404" spans="4:8" ht="15.75">
      <c r="D404" s="85"/>
      <c r="E404" s="85"/>
      <c r="F404" s="85"/>
      <c r="G404" s="85"/>
      <c r="H404" s="85"/>
    </row>
    <row r="405" spans="4:8" ht="15.75">
      <c r="D405" s="85"/>
      <c r="E405" s="85"/>
      <c r="F405" s="85"/>
      <c r="G405" s="85"/>
      <c r="H405" s="85"/>
    </row>
    <row r="406" spans="4:8" ht="15.75">
      <c r="D406" s="85"/>
      <c r="E406" s="85"/>
      <c r="F406" s="85"/>
      <c r="G406" s="85"/>
      <c r="H406" s="85"/>
    </row>
    <row r="407" spans="4:8" ht="15.75">
      <c r="D407" s="85"/>
      <c r="E407" s="85"/>
      <c r="F407" s="85"/>
      <c r="G407" s="85"/>
      <c r="H407" s="85"/>
    </row>
    <row r="408" spans="4:8" ht="15.75">
      <c r="D408" s="85"/>
      <c r="E408" s="85"/>
      <c r="F408" s="85"/>
      <c r="G408" s="85"/>
      <c r="H408" s="85"/>
    </row>
    <row r="409" spans="4:8" ht="15.75">
      <c r="D409" s="85"/>
      <c r="E409" s="85"/>
      <c r="F409" s="85"/>
      <c r="G409" s="85"/>
      <c r="H409" s="85"/>
    </row>
    <row r="410" spans="4:8" ht="15.75">
      <c r="D410" s="85"/>
      <c r="E410" s="85"/>
      <c r="F410" s="85"/>
      <c r="G410" s="85"/>
      <c r="H410" s="85"/>
    </row>
    <row r="411" spans="4:8" ht="15.75">
      <c r="D411" s="85"/>
      <c r="E411" s="85"/>
      <c r="F411" s="85"/>
      <c r="G411" s="85"/>
      <c r="H411" s="85"/>
    </row>
    <row r="412" spans="4:8" ht="15.75">
      <c r="D412" s="85"/>
      <c r="E412" s="85"/>
      <c r="F412" s="85"/>
      <c r="G412" s="85"/>
      <c r="H412" s="85"/>
    </row>
    <row r="413" spans="4:8" ht="15.75">
      <c r="D413" s="85"/>
      <c r="E413" s="85"/>
      <c r="F413" s="85"/>
      <c r="G413" s="85"/>
      <c r="H413" s="85"/>
    </row>
    <row r="414" spans="4:8" ht="15.75">
      <c r="D414" s="85"/>
      <c r="E414" s="85"/>
      <c r="F414" s="85"/>
      <c r="G414" s="85"/>
      <c r="H414" s="85"/>
    </row>
    <row r="415" spans="4:8" ht="15.75">
      <c r="D415" s="85"/>
      <c r="E415" s="85"/>
      <c r="F415" s="85"/>
      <c r="G415" s="85"/>
      <c r="H415" s="85"/>
    </row>
    <row r="416" spans="4:8" ht="15.75">
      <c r="D416" s="85"/>
      <c r="E416" s="85"/>
      <c r="F416" s="85"/>
      <c r="G416" s="85"/>
      <c r="H416" s="85"/>
    </row>
    <row r="417" spans="4:8" ht="15.75">
      <c r="D417" s="85"/>
      <c r="E417" s="85"/>
      <c r="F417" s="85"/>
      <c r="G417" s="85"/>
      <c r="H417" s="85"/>
    </row>
    <row r="418" spans="4:8" ht="15.75">
      <c r="D418" s="85"/>
      <c r="E418" s="85"/>
      <c r="F418" s="85"/>
      <c r="G418" s="85"/>
      <c r="H418" s="85"/>
    </row>
    <row r="419" spans="4:8" ht="15.75">
      <c r="D419" s="85"/>
      <c r="E419" s="85"/>
      <c r="F419" s="85"/>
      <c r="G419" s="85"/>
      <c r="H419" s="85"/>
    </row>
    <row r="420" spans="4:8" ht="15.75">
      <c r="D420" s="85"/>
      <c r="E420" s="85"/>
      <c r="F420" s="85"/>
      <c r="G420" s="85"/>
      <c r="H420" s="85"/>
    </row>
    <row r="421" spans="4:8" ht="15.75">
      <c r="D421" s="85"/>
      <c r="E421" s="85"/>
      <c r="F421" s="85"/>
      <c r="G421" s="85"/>
      <c r="H421" s="85"/>
    </row>
    <row r="422" spans="4:8" ht="15.75">
      <c r="D422" s="85"/>
      <c r="E422" s="85"/>
      <c r="F422" s="85"/>
      <c r="G422" s="85"/>
      <c r="H422" s="85"/>
    </row>
    <row r="423" spans="4:8" ht="15.75">
      <c r="D423" s="85"/>
      <c r="E423" s="85"/>
      <c r="F423" s="85"/>
      <c r="G423" s="85"/>
      <c r="H423" s="85"/>
    </row>
    <row r="424" spans="4:8" ht="15.75">
      <c r="D424" s="85"/>
      <c r="E424" s="85"/>
      <c r="F424" s="85"/>
      <c r="G424" s="85"/>
      <c r="H424" s="85"/>
    </row>
    <row r="425" spans="4:8" ht="15.75">
      <c r="D425" s="85"/>
      <c r="E425" s="85"/>
      <c r="F425" s="85"/>
      <c r="G425" s="85"/>
      <c r="H425" s="85"/>
    </row>
    <row r="426" spans="4:8" ht="15.75">
      <c r="D426" s="85"/>
      <c r="E426" s="85"/>
      <c r="F426" s="85"/>
      <c r="G426" s="85"/>
      <c r="H426" s="85"/>
    </row>
    <row r="427" spans="4:8" ht="15.75">
      <c r="D427" s="85"/>
      <c r="E427" s="85"/>
      <c r="F427" s="85"/>
      <c r="G427" s="85"/>
      <c r="H427" s="85"/>
    </row>
    <row r="428" spans="4:8" ht="15.75">
      <c r="D428" s="85"/>
      <c r="E428" s="85"/>
      <c r="F428" s="85"/>
      <c r="G428" s="85"/>
      <c r="H428" s="85"/>
    </row>
    <row r="429" spans="4:8" ht="15.75">
      <c r="D429" s="85"/>
      <c r="E429" s="85"/>
      <c r="F429" s="85"/>
      <c r="G429" s="85"/>
      <c r="H429" s="85"/>
    </row>
    <row r="430" spans="4:8" ht="15.75">
      <c r="D430" s="85"/>
      <c r="E430" s="85"/>
      <c r="F430" s="85"/>
      <c r="G430" s="85"/>
      <c r="H430" s="85"/>
    </row>
    <row r="431" spans="4:8" ht="15.75">
      <c r="D431" s="85"/>
      <c r="E431" s="85"/>
      <c r="F431" s="85"/>
      <c r="G431" s="85"/>
      <c r="H431" s="85"/>
    </row>
    <row r="432" spans="4:8" ht="15.75">
      <c r="D432" s="85"/>
      <c r="E432" s="85"/>
      <c r="F432" s="85"/>
      <c r="G432" s="85"/>
      <c r="H432" s="85"/>
    </row>
    <row r="433" spans="4:8" ht="15.75">
      <c r="D433" s="85"/>
      <c r="E433" s="85"/>
      <c r="F433" s="85"/>
      <c r="G433" s="85"/>
      <c r="H433" s="85"/>
    </row>
    <row r="434" spans="4:8" ht="15.75">
      <c r="D434" s="85"/>
      <c r="E434" s="85"/>
      <c r="F434" s="85"/>
      <c r="G434" s="85"/>
      <c r="H434" s="85"/>
    </row>
    <row r="435" spans="4:8" ht="15.75">
      <c r="D435" s="85"/>
      <c r="E435" s="85"/>
      <c r="F435" s="85"/>
      <c r="G435" s="85"/>
      <c r="H435" s="85"/>
    </row>
    <row r="436" spans="4:8" ht="15.75">
      <c r="D436" s="85"/>
      <c r="E436" s="85"/>
      <c r="F436" s="85"/>
      <c r="G436" s="85"/>
      <c r="H436" s="85"/>
    </row>
    <row r="437" spans="4:8" ht="15.75">
      <c r="D437" s="85"/>
      <c r="E437" s="85"/>
      <c r="F437" s="85"/>
      <c r="G437" s="85"/>
      <c r="H437" s="85"/>
    </row>
    <row r="438" spans="4:8" ht="15.75">
      <c r="D438" s="85"/>
      <c r="E438" s="85"/>
      <c r="F438" s="85"/>
      <c r="G438" s="85"/>
      <c r="H438" s="85"/>
    </row>
    <row r="439" spans="4:8" ht="15.75">
      <c r="D439" s="85"/>
      <c r="E439" s="85"/>
      <c r="F439" s="85"/>
      <c r="G439" s="85"/>
      <c r="H439" s="85"/>
    </row>
    <row r="440" spans="4:8" ht="15.75">
      <c r="D440" s="85"/>
      <c r="E440" s="85"/>
      <c r="F440" s="85"/>
      <c r="G440" s="85"/>
      <c r="H440" s="85"/>
    </row>
    <row r="441" spans="4:8" ht="15.75">
      <c r="D441" s="85"/>
      <c r="E441" s="85"/>
      <c r="F441" s="85"/>
      <c r="G441" s="85"/>
      <c r="H441" s="85"/>
    </row>
    <row r="442" spans="4:8" ht="15.75">
      <c r="D442" s="85"/>
      <c r="E442" s="85"/>
      <c r="F442" s="85"/>
      <c r="G442" s="85"/>
      <c r="H442" s="85"/>
    </row>
    <row r="443" spans="4:8" ht="15.75">
      <c r="D443" s="85"/>
      <c r="E443" s="85"/>
      <c r="F443" s="85"/>
      <c r="G443" s="85"/>
      <c r="H443" s="85"/>
    </row>
    <row r="444" spans="4:8" ht="15.75">
      <c r="D444" s="85"/>
      <c r="E444" s="85"/>
      <c r="F444" s="85"/>
      <c r="G444" s="85"/>
      <c r="H444" s="85"/>
    </row>
    <row r="445" spans="4:8" ht="15.75">
      <c r="D445" s="85"/>
      <c r="E445" s="85"/>
      <c r="F445" s="85"/>
      <c r="G445" s="85"/>
      <c r="H445" s="85"/>
    </row>
    <row r="446" spans="4:8" ht="15.75">
      <c r="D446" s="85"/>
      <c r="E446" s="85"/>
      <c r="F446" s="85"/>
      <c r="G446" s="85"/>
      <c r="H446" s="85"/>
    </row>
    <row r="447" spans="4:8" ht="15.75">
      <c r="D447" s="85"/>
      <c r="E447" s="85"/>
      <c r="F447" s="85"/>
      <c r="G447" s="85"/>
      <c r="H447" s="85"/>
    </row>
    <row r="448" spans="4:8" ht="15.75">
      <c r="D448" s="85"/>
      <c r="E448" s="85"/>
      <c r="F448" s="85"/>
      <c r="G448" s="85"/>
      <c r="H448" s="85"/>
    </row>
    <row r="449" spans="4:8" ht="15.75">
      <c r="D449" s="85"/>
      <c r="E449" s="85"/>
      <c r="F449" s="85"/>
      <c r="G449" s="85"/>
      <c r="H449" s="85"/>
    </row>
    <row r="450" spans="4:8" ht="15.75">
      <c r="D450" s="85"/>
      <c r="E450" s="85"/>
      <c r="F450" s="85"/>
      <c r="G450" s="85"/>
      <c r="H450" s="85"/>
    </row>
    <row r="451" spans="4:8" ht="15.75">
      <c r="D451" s="85"/>
      <c r="E451" s="85"/>
      <c r="F451" s="85"/>
      <c r="G451" s="85"/>
      <c r="H451" s="85"/>
    </row>
    <row r="452" spans="4:8" ht="15.75">
      <c r="D452" s="85"/>
      <c r="E452" s="85"/>
      <c r="F452" s="85"/>
      <c r="G452" s="85"/>
      <c r="H452" s="85"/>
    </row>
    <row r="453" spans="4:8" ht="15.75">
      <c r="D453" s="85"/>
      <c r="E453" s="85"/>
      <c r="F453" s="85"/>
      <c r="G453" s="85"/>
      <c r="H453" s="85"/>
    </row>
    <row r="454" spans="4:8" ht="15.75">
      <c r="D454" s="85"/>
      <c r="E454" s="85"/>
      <c r="F454" s="85"/>
      <c r="G454" s="85"/>
      <c r="H454" s="85"/>
    </row>
    <row r="455" spans="4:8" ht="15.75">
      <c r="D455" s="85"/>
      <c r="E455" s="85"/>
      <c r="F455" s="85"/>
      <c r="G455" s="85"/>
      <c r="H455" s="85"/>
    </row>
    <row r="456" spans="4:8" ht="15.75">
      <c r="D456" s="85"/>
      <c r="E456" s="85"/>
      <c r="F456" s="85"/>
      <c r="G456" s="85"/>
      <c r="H456" s="85"/>
    </row>
    <row r="457" spans="4:8" ht="15.75">
      <c r="D457" s="85"/>
      <c r="E457" s="85"/>
      <c r="F457" s="85"/>
      <c r="G457" s="85"/>
      <c r="H457" s="85"/>
    </row>
    <row r="458" spans="4:8" ht="15.75">
      <c r="D458" s="85"/>
      <c r="E458" s="85"/>
      <c r="F458" s="85"/>
      <c r="G458" s="85"/>
      <c r="H458" s="85"/>
    </row>
    <row r="459" spans="4:8" ht="15.75">
      <c r="D459" s="85"/>
      <c r="E459" s="85"/>
      <c r="F459" s="85"/>
      <c r="G459" s="85"/>
      <c r="H459" s="85"/>
    </row>
    <row r="460" spans="4:8" ht="15.75">
      <c r="D460" s="85"/>
      <c r="E460" s="85"/>
      <c r="F460" s="85"/>
      <c r="G460" s="85"/>
      <c r="H460" s="85"/>
    </row>
    <row r="461" spans="4:8" ht="15.75">
      <c r="D461" s="85"/>
      <c r="E461" s="85"/>
      <c r="F461" s="85"/>
      <c r="G461" s="85"/>
      <c r="H461" s="85"/>
    </row>
    <row r="462" spans="4:8" ht="15.75">
      <c r="D462" s="85"/>
      <c r="E462" s="85"/>
      <c r="F462" s="85"/>
      <c r="G462" s="85"/>
      <c r="H462" s="85"/>
    </row>
    <row r="463" spans="4:8" ht="15.75">
      <c r="D463" s="85"/>
      <c r="E463" s="85"/>
      <c r="F463" s="85"/>
      <c r="G463" s="85"/>
      <c r="H463" s="85"/>
    </row>
    <row r="464" spans="4:8" ht="15.75">
      <c r="D464" s="85"/>
      <c r="E464" s="85"/>
      <c r="F464" s="85"/>
      <c r="G464" s="85"/>
      <c r="H464" s="85"/>
    </row>
    <row r="465" spans="4:8" ht="15.75">
      <c r="D465" s="85"/>
      <c r="E465" s="85"/>
      <c r="F465" s="85"/>
      <c r="G465" s="85"/>
      <c r="H465" s="85"/>
    </row>
    <row r="466" spans="4:8" ht="15.75">
      <c r="D466" s="85"/>
      <c r="E466" s="85"/>
      <c r="F466" s="85"/>
      <c r="G466" s="85"/>
      <c r="H466" s="85"/>
    </row>
    <row r="467" spans="4:8" ht="15.75">
      <c r="D467" s="85"/>
      <c r="E467" s="85"/>
      <c r="F467" s="85"/>
      <c r="G467" s="85"/>
      <c r="H467" s="85"/>
    </row>
    <row r="468" spans="4:8" ht="15.75">
      <c r="D468" s="85"/>
      <c r="E468" s="85"/>
      <c r="F468" s="85"/>
      <c r="G468" s="85"/>
      <c r="H468" s="85"/>
    </row>
    <row r="469" spans="4:8" ht="15.75">
      <c r="D469" s="85"/>
      <c r="E469" s="85"/>
      <c r="F469" s="85"/>
      <c r="G469" s="85"/>
      <c r="H469" s="85"/>
    </row>
    <row r="470" spans="4:8" ht="15.75">
      <c r="D470" s="85"/>
      <c r="E470" s="85"/>
      <c r="F470" s="85"/>
      <c r="G470" s="85"/>
      <c r="H470" s="85"/>
    </row>
    <row r="471" spans="4:8" ht="15.75">
      <c r="D471" s="85"/>
      <c r="E471" s="85"/>
      <c r="F471" s="85"/>
      <c r="G471" s="85"/>
      <c r="H471" s="85"/>
    </row>
    <row r="472" spans="4:8" ht="15.75">
      <c r="D472" s="85"/>
      <c r="E472" s="85"/>
      <c r="F472" s="85"/>
      <c r="G472" s="85"/>
      <c r="H472" s="85"/>
    </row>
    <row r="473" spans="4:8" ht="15.75">
      <c r="D473" s="85"/>
      <c r="E473" s="85"/>
      <c r="F473" s="85"/>
      <c r="G473" s="85"/>
      <c r="H473" s="85"/>
    </row>
    <row r="474" spans="4:8" ht="15.75">
      <c r="D474" s="85"/>
      <c r="E474" s="85"/>
      <c r="F474" s="85"/>
      <c r="G474" s="85"/>
      <c r="H474" s="85"/>
    </row>
    <row r="475" spans="4:8" ht="15.75">
      <c r="D475" s="85"/>
      <c r="E475" s="85"/>
      <c r="F475" s="85"/>
      <c r="G475" s="85"/>
      <c r="H475" s="85"/>
    </row>
    <row r="476" spans="4:8" ht="15.75">
      <c r="D476" s="85"/>
      <c r="E476" s="85"/>
      <c r="F476" s="85"/>
      <c r="G476" s="85"/>
      <c r="H476" s="85"/>
    </row>
    <row r="477" spans="4:8" ht="15.75">
      <c r="D477" s="85"/>
      <c r="E477" s="85"/>
      <c r="F477" s="85"/>
      <c r="G477" s="85"/>
      <c r="H477" s="85"/>
    </row>
    <row r="478" spans="4:8" ht="15.75">
      <c r="D478" s="85"/>
      <c r="E478" s="85"/>
      <c r="F478" s="85"/>
      <c r="G478" s="85"/>
      <c r="H478" s="85"/>
    </row>
    <row r="479" spans="4:8" ht="15.75">
      <c r="D479" s="85"/>
      <c r="E479" s="85"/>
      <c r="F479" s="85"/>
      <c r="G479" s="85"/>
      <c r="H479" s="85"/>
    </row>
    <row r="480" spans="4:8" ht="15.75">
      <c r="D480" s="85"/>
      <c r="E480" s="85"/>
      <c r="F480" s="85"/>
      <c r="G480" s="85"/>
      <c r="H480" s="85"/>
    </row>
    <row r="481" spans="4:8" ht="15.75">
      <c r="D481" s="85"/>
      <c r="E481" s="85"/>
      <c r="F481" s="85"/>
      <c r="G481" s="85"/>
      <c r="H481" s="85"/>
    </row>
    <row r="482" spans="4:8" ht="15.75">
      <c r="D482" s="85"/>
      <c r="E482" s="85"/>
      <c r="F482" s="85"/>
      <c r="G482" s="85"/>
      <c r="H482" s="85"/>
    </row>
    <row r="483" spans="4:8" ht="15.75">
      <c r="D483" s="85"/>
      <c r="E483" s="85"/>
      <c r="F483" s="85"/>
      <c r="G483" s="85"/>
      <c r="H483" s="85"/>
    </row>
    <row r="484" spans="4:8" ht="15.75">
      <c r="D484" s="85"/>
      <c r="E484" s="85"/>
      <c r="F484" s="85"/>
      <c r="G484" s="85"/>
      <c r="H484" s="85"/>
    </row>
    <row r="485" spans="4:8" ht="15.75">
      <c r="D485" s="85"/>
      <c r="E485" s="85"/>
      <c r="F485" s="85"/>
      <c r="G485" s="85"/>
      <c r="H485" s="85"/>
    </row>
    <row r="486" spans="4:8" ht="15.75">
      <c r="D486" s="85"/>
      <c r="E486" s="85"/>
      <c r="F486" s="85"/>
      <c r="G486" s="85"/>
      <c r="H486" s="85"/>
    </row>
    <row r="487" spans="4:8" ht="15.75">
      <c r="D487" s="85"/>
      <c r="E487" s="85"/>
      <c r="F487" s="85"/>
      <c r="G487" s="85"/>
      <c r="H487" s="85"/>
    </row>
    <row r="488" spans="4:8" ht="15.75">
      <c r="D488" s="85"/>
      <c r="E488" s="85"/>
      <c r="F488" s="85"/>
      <c r="G488" s="85"/>
      <c r="H488" s="85"/>
    </row>
    <row r="489" spans="4:8" ht="15.75">
      <c r="D489" s="85"/>
      <c r="E489" s="85"/>
      <c r="F489" s="85"/>
      <c r="G489" s="85"/>
      <c r="H489" s="85"/>
    </row>
    <row r="490" spans="4:8" ht="15.75">
      <c r="D490" s="85"/>
      <c r="E490" s="85"/>
      <c r="F490" s="85"/>
      <c r="G490" s="85"/>
      <c r="H490" s="85"/>
    </row>
    <row r="491" spans="4:8" ht="15.75">
      <c r="D491" s="85"/>
      <c r="E491" s="85"/>
      <c r="F491" s="85"/>
      <c r="G491" s="85"/>
      <c r="H491" s="85"/>
    </row>
    <row r="492" spans="4:8" ht="15.75">
      <c r="D492" s="85"/>
      <c r="E492" s="85"/>
      <c r="F492" s="85"/>
      <c r="G492" s="85"/>
      <c r="H492" s="85"/>
    </row>
    <row r="493" spans="4:8" ht="15.75">
      <c r="D493" s="85"/>
      <c r="E493" s="85"/>
      <c r="F493" s="85"/>
      <c r="G493" s="85"/>
      <c r="H493" s="85"/>
    </row>
    <row r="494" spans="4:8" ht="15.75">
      <c r="D494" s="85"/>
      <c r="E494" s="85"/>
      <c r="F494" s="85"/>
      <c r="G494" s="85"/>
      <c r="H494" s="85"/>
    </row>
    <row r="495" spans="4:8" ht="15.75">
      <c r="D495" s="85"/>
      <c r="E495" s="85"/>
      <c r="F495" s="85"/>
      <c r="G495" s="85"/>
      <c r="H495" s="85"/>
    </row>
    <row r="496" spans="4:8" ht="15.75">
      <c r="D496" s="85"/>
      <c r="E496" s="85"/>
      <c r="F496" s="85"/>
      <c r="G496" s="85"/>
      <c r="H496" s="85"/>
    </row>
    <row r="497" spans="4:8" ht="15.75">
      <c r="D497" s="85"/>
      <c r="E497" s="85"/>
      <c r="F497" s="85"/>
      <c r="G497" s="85"/>
      <c r="H497" s="85"/>
    </row>
    <row r="498" spans="4:8" ht="15.75">
      <c r="D498" s="85"/>
      <c r="E498" s="85"/>
      <c r="F498" s="85"/>
      <c r="G498" s="85"/>
      <c r="H498" s="85"/>
    </row>
    <row r="499" spans="4:8" ht="15.75">
      <c r="D499" s="85"/>
      <c r="E499" s="85"/>
      <c r="F499" s="85"/>
      <c r="G499" s="85"/>
      <c r="H499" s="85"/>
    </row>
    <row r="500" spans="4:8" ht="15.75">
      <c r="D500" s="85"/>
      <c r="E500" s="85"/>
      <c r="F500" s="85"/>
      <c r="G500" s="85"/>
      <c r="H500" s="85"/>
    </row>
    <row r="501" spans="4:8" ht="15.75">
      <c r="D501" s="85"/>
      <c r="E501" s="85"/>
      <c r="F501" s="85"/>
      <c r="G501" s="85"/>
      <c r="H501" s="85"/>
    </row>
    <row r="502" spans="4:8" ht="15.75">
      <c r="D502" s="85"/>
      <c r="E502" s="85"/>
      <c r="F502" s="85"/>
      <c r="G502" s="85"/>
      <c r="H502" s="85"/>
    </row>
    <row r="503" spans="4:8" ht="15.75">
      <c r="D503" s="85"/>
      <c r="E503" s="85"/>
      <c r="F503" s="85"/>
      <c r="G503" s="85"/>
      <c r="H503" s="85"/>
    </row>
    <row r="504" spans="4:8" ht="15.75">
      <c r="D504" s="85"/>
      <c r="E504" s="85"/>
      <c r="F504" s="85"/>
      <c r="G504" s="85"/>
      <c r="H504" s="85"/>
    </row>
    <row r="505" spans="4:8" ht="15.75">
      <c r="D505" s="85"/>
      <c r="E505" s="85"/>
      <c r="F505" s="85"/>
      <c r="G505" s="85"/>
      <c r="H505" s="85"/>
    </row>
    <row r="506" spans="4:8" ht="15.75">
      <c r="D506" s="85"/>
      <c r="E506" s="85"/>
      <c r="F506" s="85"/>
      <c r="G506" s="85"/>
      <c r="H506" s="85"/>
    </row>
    <row r="507" spans="4:8" ht="15.75">
      <c r="D507" s="85"/>
      <c r="E507" s="85"/>
      <c r="F507" s="85"/>
      <c r="G507" s="85"/>
      <c r="H507" s="85"/>
    </row>
    <row r="508" spans="4:8" ht="15.75">
      <c r="D508" s="85"/>
      <c r="E508" s="85"/>
      <c r="F508" s="85"/>
      <c r="G508" s="85"/>
      <c r="H508" s="85"/>
    </row>
    <row r="509" spans="4:8" ht="15.75">
      <c r="D509" s="85"/>
      <c r="E509" s="85"/>
      <c r="F509" s="85"/>
      <c r="G509" s="85"/>
      <c r="H509" s="85"/>
    </row>
    <row r="510" spans="4:8" ht="15.75">
      <c r="D510" s="85"/>
      <c r="E510" s="85"/>
      <c r="F510" s="85"/>
      <c r="G510" s="85"/>
      <c r="H510" s="85"/>
    </row>
    <row r="511" spans="4:8" ht="15.75">
      <c r="D511" s="85"/>
      <c r="E511" s="85"/>
      <c r="F511" s="85"/>
      <c r="G511" s="85"/>
      <c r="H511" s="85"/>
    </row>
    <row r="512" spans="4:8" ht="15.75">
      <c r="D512" s="85"/>
      <c r="E512" s="85"/>
      <c r="F512" s="85"/>
      <c r="G512" s="85"/>
      <c r="H512" s="85"/>
    </row>
    <row r="513" spans="4:8" ht="15.75">
      <c r="D513" s="85"/>
      <c r="E513" s="85"/>
      <c r="F513" s="85"/>
      <c r="G513" s="85"/>
      <c r="H513" s="85"/>
    </row>
    <row r="514" spans="4:8" ht="15.75">
      <c r="D514" s="85"/>
      <c r="E514" s="85"/>
      <c r="F514" s="85"/>
      <c r="G514" s="85"/>
      <c r="H514" s="85"/>
    </row>
    <row r="515" spans="4:8" ht="15.75">
      <c r="D515" s="85"/>
      <c r="E515" s="85"/>
      <c r="F515" s="85"/>
      <c r="G515" s="85"/>
      <c r="H515" s="85"/>
    </row>
    <row r="516" spans="4:8" ht="15.75">
      <c r="D516" s="85"/>
      <c r="E516" s="85"/>
      <c r="F516" s="85"/>
      <c r="G516" s="85"/>
      <c r="H516" s="85"/>
    </row>
    <row r="517" spans="4:8" ht="15.75">
      <c r="D517" s="85"/>
      <c r="E517" s="85"/>
      <c r="F517" s="85"/>
      <c r="G517" s="85"/>
      <c r="H517" s="85"/>
    </row>
    <row r="518" spans="4:8" ht="15.75">
      <c r="D518" s="85"/>
      <c r="E518" s="85"/>
      <c r="F518" s="85"/>
      <c r="G518" s="85"/>
      <c r="H518" s="85"/>
    </row>
    <row r="519" spans="4:8" ht="15.75">
      <c r="D519" s="85"/>
      <c r="E519" s="85"/>
      <c r="F519" s="85"/>
      <c r="G519" s="85"/>
      <c r="H519" s="85"/>
    </row>
    <row r="520" spans="4:8" ht="15.75">
      <c r="D520" s="85"/>
      <c r="E520" s="85"/>
      <c r="F520" s="85"/>
      <c r="G520" s="85"/>
      <c r="H520" s="85"/>
    </row>
    <row r="521" spans="4:8" ht="15.75">
      <c r="D521" s="85"/>
      <c r="E521" s="85"/>
      <c r="F521" s="85"/>
      <c r="G521" s="85"/>
      <c r="H521" s="85"/>
    </row>
    <row r="522" spans="4:8" ht="15.75">
      <c r="D522" s="85"/>
      <c r="E522" s="85"/>
      <c r="F522" s="85"/>
      <c r="G522" s="85"/>
      <c r="H522" s="85"/>
    </row>
    <row r="523" spans="4:8" ht="15.75">
      <c r="D523" s="85"/>
      <c r="E523" s="85"/>
      <c r="F523" s="85"/>
      <c r="G523" s="85"/>
      <c r="H523" s="85"/>
    </row>
    <row r="524" spans="4:8" ht="15.75">
      <c r="D524" s="85"/>
      <c r="E524" s="85"/>
      <c r="F524" s="85"/>
      <c r="G524" s="85"/>
      <c r="H524" s="85"/>
    </row>
    <row r="525" spans="4:8" ht="15.75">
      <c r="D525" s="85"/>
      <c r="E525" s="85"/>
      <c r="F525" s="85"/>
      <c r="G525" s="85"/>
      <c r="H525" s="85"/>
    </row>
    <row r="526" spans="4:8" ht="15.75">
      <c r="D526" s="85"/>
      <c r="E526" s="85"/>
      <c r="F526" s="85"/>
      <c r="G526" s="85"/>
      <c r="H526" s="85"/>
    </row>
    <row r="527" spans="4:8" ht="15.75">
      <c r="D527" s="85"/>
      <c r="E527" s="85"/>
      <c r="F527" s="85"/>
      <c r="G527" s="85"/>
      <c r="H527" s="85"/>
    </row>
    <row r="528" spans="4:8" ht="15.75">
      <c r="D528" s="85"/>
      <c r="E528" s="85"/>
      <c r="F528" s="85"/>
      <c r="G528" s="85"/>
      <c r="H528" s="85"/>
    </row>
    <row r="529" spans="4:8" ht="15.75">
      <c r="D529" s="85"/>
      <c r="E529" s="85"/>
      <c r="F529" s="85"/>
      <c r="G529" s="85"/>
      <c r="H529" s="85"/>
    </row>
    <row r="530" spans="4:8" ht="15.75">
      <c r="D530" s="85"/>
      <c r="E530" s="85"/>
      <c r="F530" s="85"/>
      <c r="G530" s="85"/>
      <c r="H530" s="85"/>
    </row>
    <row r="531" spans="4:8" ht="15.75">
      <c r="D531" s="85"/>
      <c r="E531" s="85"/>
      <c r="F531" s="85"/>
      <c r="G531" s="85"/>
      <c r="H531" s="85"/>
    </row>
    <row r="532" spans="4:8" ht="15.75">
      <c r="D532" s="85"/>
      <c r="E532" s="85"/>
      <c r="F532" s="85"/>
      <c r="G532" s="85"/>
      <c r="H532" s="85"/>
    </row>
    <row r="533" spans="4:8" ht="15.75">
      <c r="D533" s="85"/>
      <c r="E533" s="85"/>
      <c r="F533" s="85"/>
      <c r="G533" s="85"/>
      <c r="H533" s="85"/>
    </row>
    <row r="534" spans="4:8" ht="15.75">
      <c r="D534" s="85"/>
      <c r="E534" s="85"/>
      <c r="F534" s="85"/>
      <c r="G534" s="85"/>
      <c r="H534" s="85"/>
    </row>
    <row r="535" spans="4:8" ht="15.75">
      <c r="D535" s="85"/>
      <c r="E535" s="85"/>
      <c r="F535" s="85"/>
      <c r="G535" s="85"/>
      <c r="H535" s="85"/>
    </row>
    <row r="536" spans="4:8" ht="15.75">
      <c r="D536" s="85"/>
      <c r="E536" s="85"/>
      <c r="F536" s="85"/>
      <c r="G536" s="85"/>
      <c r="H536" s="85"/>
    </row>
    <row r="537" spans="4:8" ht="15.75">
      <c r="D537" s="85"/>
      <c r="E537" s="85"/>
      <c r="F537" s="85"/>
      <c r="G537" s="85"/>
      <c r="H537" s="85"/>
    </row>
    <row r="538" spans="4:8" ht="15.75">
      <c r="D538" s="85"/>
      <c r="E538" s="85"/>
      <c r="F538" s="85"/>
      <c r="G538" s="85"/>
      <c r="H538" s="85"/>
    </row>
    <row r="539" spans="4:8" ht="15.75">
      <c r="D539" s="85"/>
      <c r="E539" s="85"/>
      <c r="F539" s="85"/>
      <c r="G539" s="85"/>
      <c r="H539" s="85"/>
    </row>
    <row r="540" spans="4:8" ht="15.75">
      <c r="D540" s="85"/>
      <c r="E540" s="85"/>
      <c r="F540" s="85"/>
      <c r="G540" s="85"/>
      <c r="H540" s="85"/>
    </row>
    <row r="541" spans="4:8" ht="15.75">
      <c r="D541" s="85"/>
      <c r="E541" s="85"/>
      <c r="F541" s="85"/>
      <c r="G541" s="85"/>
      <c r="H541" s="85"/>
    </row>
    <row r="542" spans="4:8" ht="15.75">
      <c r="D542" s="85"/>
      <c r="E542" s="85"/>
      <c r="F542" s="85"/>
      <c r="G542" s="85"/>
      <c r="H542" s="85"/>
    </row>
    <row r="543" spans="4:8" ht="15.75">
      <c r="D543" s="85"/>
      <c r="E543" s="85"/>
      <c r="F543" s="85"/>
      <c r="G543" s="85"/>
      <c r="H543" s="85"/>
    </row>
    <row r="544" spans="4:8" ht="15.75">
      <c r="D544" s="85"/>
      <c r="E544" s="85"/>
      <c r="F544" s="85"/>
      <c r="G544" s="85"/>
      <c r="H544" s="85"/>
    </row>
    <row r="545" spans="4:8" ht="15.75">
      <c r="D545" s="85"/>
      <c r="E545" s="85"/>
      <c r="F545" s="85"/>
      <c r="G545" s="85"/>
      <c r="H545" s="85"/>
    </row>
    <row r="546" spans="4:8" ht="15.75">
      <c r="D546" s="85"/>
      <c r="E546" s="85"/>
      <c r="F546" s="85"/>
      <c r="G546" s="85"/>
      <c r="H546" s="85"/>
    </row>
    <row r="547" spans="4:8" ht="15.75">
      <c r="D547" s="85"/>
      <c r="E547" s="85"/>
      <c r="F547" s="85"/>
      <c r="G547" s="85"/>
      <c r="H547" s="85"/>
    </row>
    <row r="548" spans="4:8" ht="15.75">
      <c r="D548" s="85"/>
      <c r="E548" s="85"/>
      <c r="F548" s="85"/>
      <c r="G548" s="85"/>
      <c r="H548" s="85"/>
    </row>
    <row r="549" spans="4:8" ht="15.75">
      <c r="D549" s="85"/>
      <c r="E549" s="85"/>
      <c r="F549" s="85"/>
      <c r="G549" s="85"/>
      <c r="H549" s="85"/>
    </row>
    <row r="550" spans="4:8" ht="15.75">
      <c r="D550" s="85"/>
      <c r="E550" s="85"/>
      <c r="F550" s="85"/>
      <c r="G550" s="85"/>
      <c r="H550" s="85"/>
    </row>
    <row r="551" spans="4:8" ht="15.75">
      <c r="D551" s="85"/>
      <c r="E551" s="85"/>
      <c r="F551" s="85"/>
      <c r="G551" s="85"/>
      <c r="H551" s="85"/>
    </row>
    <row r="552" spans="4:8" ht="15.75">
      <c r="D552" s="85"/>
      <c r="E552" s="85"/>
      <c r="F552" s="85"/>
      <c r="G552" s="85"/>
      <c r="H552" s="85"/>
    </row>
    <row r="553" spans="4:8" ht="15.75">
      <c r="D553" s="85"/>
      <c r="E553" s="85"/>
      <c r="F553" s="85"/>
      <c r="G553" s="85"/>
      <c r="H553" s="85"/>
    </row>
    <row r="554" spans="4:8" ht="15.75">
      <c r="D554" s="85"/>
      <c r="E554" s="85"/>
      <c r="F554" s="85"/>
      <c r="G554" s="85"/>
      <c r="H554" s="85"/>
    </row>
    <row r="555" spans="4:8" ht="15.75">
      <c r="D555" s="85"/>
      <c r="E555" s="85"/>
      <c r="F555" s="85"/>
      <c r="G555" s="85"/>
      <c r="H555" s="85"/>
    </row>
    <row r="556" spans="4:8" ht="15.75">
      <c r="D556" s="85"/>
      <c r="E556" s="85"/>
      <c r="F556" s="85"/>
      <c r="G556" s="85"/>
      <c r="H556" s="85"/>
    </row>
    <row r="557" spans="4:8" ht="15.75">
      <c r="D557" s="85"/>
      <c r="E557" s="85"/>
      <c r="F557" s="85"/>
      <c r="G557" s="85"/>
      <c r="H557" s="85"/>
    </row>
    <row r="558" spans="4:8" ht="15.75">
      <c r="D558" s="85"/>
      <c r="E558" s="85"/>
      <c r="F558" s="85"/>
      <c r="G558" s="85"/>
      <c r="H558" s="85"/>
    </row>
    <row r="559" spans="4:8" ht="15.75">
      <c r="D559" s="85"/>
      <c r="E559" s="85"/>
      <c r="F559" s="85"/>
      <c r="G559" s="85"/>
      <c r="H559" s="85"/>
    </row>
    <row r="560" spans="4:8" ht="15.75">
      <c r="D560" s="85"/>
      <c r="E560" s="85"/>
      <c r="F560" s="85"/>
      <c r="G560" s="85"/>
      <c r="H560" s="85"/>
    </row>
    <row r="561" spans="4:8" ht="15.75">
      <c r="D561" s="85"/>
      <c r="E561" s="85"/>
      <c r="F561" s="85"/>
      <c r="G561" s="85"/>
      <c r="H561" s="85"/>
    </row>
    <row r="562" spans="4:8" ht="15.75">
      <c r="D562" s="85"/>
      <c r="E562" s="85"/>
      <c r="F562" s="85"/>
      <c r="G562" s="85"/>
      <c r="H562" s="85"/>
    </row>
    <row r="563" spans="4:8" ht="15.75">
      <c r="D563" s="85"/>
      <c r="E563" s="85"/>
      <c r="F563" s="85"/>
      <c r="G563" s="85"/>
      <c r="H563" s="85"/>
    </row>
    <row r="564" spans="4:8" ht="15.75">
      <c r="D564" s="85"/>
      <c r="E564" s="85"/>
      <c r="F564" s="85"/>
      <c r="G564" s="85"/>
      <c r="H564" s="85"/>
    </row>
    <row r="565" spans="4:8" ht="15.75">
      <c r="D565" s="85"/>
      <c r="E565" s="85"/>
      <c r="F565" s="85"/>
      <c r="G565" s="85"/>
      <c r="H565" s="85"/>
    </row>
    <row r="566" spans="4:8" ht="15.75">
      <c r="D566" s="85"/>
      <c r="E566" s="85"/>
      <c r="F566" s="85"/>
      <c r="G566" s="85"/>
      <c r="H566" s="85"/>
    </row>
    <row r="567" spans="4:8" ht="15.75">
      <c r="D567" s="85"/>
      <c r="E567" s="85"/>
      <c r="F567" s="85"/>
      <c r="G567" s="85"/>
      <c r="H567" s="85"/>
    </row>
    <row r="568" spans="4:8" ht="15.75">
      <c r="D568" s="85"/>
      <c r="E568" s="85"/>
      <c r="F568" s="85"/>
      <c r="G568" s="85"/>
      <c r="H568" s="85"/>
    </row>
    <row r="569" spans="4:8" ht="15.75">
      <c r="D569" s="85"/>
      <c r="E569" s="85"/>
      <c r="F569" s="85"/>
      <c r="G569" s="85"/>
      <c r="H569" s="85"/>
    </row>
    <row r="570" spans="4:8" ht="15.75">
      <c r="D570" s="85"/>
      <c r="E570" s="85"/>
      <c r="F570" s="85"/>
      <c r="G570" s="85"/>
      <c r="H570" s="85"/>
    </row>
    <row r="571" spans="4:8" ht="15.75">
      <c r="D571" s="85"/>
      <c r="E571" s="85"/>
      <c r="F571" s="85"/>
      <c r="G571" s="85"/>
      <c r="H571" s="85"/>
    </row>
    <row r="572" spans="4:8" ht="15.75">
      <c r="D572" s="85"/>
      <c r="E572" s="85"/>
      <c r="F572" s="85"/>
      <c r="G572" s="85"/>
      <c r="H572" s="85"/>
    </row>
    <row r="573" spans="4:8" ht="15.75">
      <c r="D573" s="85"/>
      <c r="E573" s="85"/>
      <c r="F573" s="85"/>
      <c r="G573" s="85"/>
      <c r="H573" s="85"/>
    </row>
    <row r="574" spans="4:8" ht="15.75">
      <c r="D574" s="85"/>
      <c r="E574" s="85"/>
      <c r="F574" s="85"/>
      <c r="G574" s="85"/>
      <c r="H574" s="85"/>
    </row>
    <row r="575" spans="4:8" ht="15.75">
      <c r="D575" s="85"/>
      <c r="E575" s="85"/>
      <c r="F575" s="85"/>
      <c r="G575" s="85"/>
      <c r="H575" s="85"/>
    </row>
    <row r="576" spans="4:8" ht="15.75">
      <c r="D576" s="85"/>
      <c r="E576" s="85"/>
      <c r="F576" s="85"/>
      <c r="G576" s="85"/>
      <c r="H576" s="85"/>
    </row>
    <row r="577" spans="4:8" ht="15.75">
      <c r="D577" s="85"/>
      <c r="E577" s="85"/>
      <c r="F577" s="85"/>
      <c r="G577" s="85"/>
      <c r="H577" s="85"/>
    </row>
    <row r="578" spans="4:8" ht="15.75">
      <c r="D578" s="85"/>
      <c r="E578" s="85"/>
      <c r="F578" s="85"/>
      <c r="G578" s="85"/>
      <c r="H578" s="85"/>
    </row>
    <row r="579" spans="4:8" ht="15.75">
      <c r="D579" s="85"/>
      <c r="E579" s="85"/>
      <c r="F579" s="85"/>
      <c r="G579" s="85"/>
      <c r="H579" s="85"/>
    </row>
    <row r="580" spans="4:8" ht="15.75">
      <c r="D580" s="85"/>
      <c r="E580" s="85"/>
      <c r="F580" s="85"/>
      <c r="G580" s="85"/>
      <c r="H580" s="85"/>
    </row>
    <row r="581" spans="4:8" ht="15.75">
      <c r="D581" s="85"/>
      <c r="E581" s="85"/>
      <c r="F581" s="85"/>
      <c r="G581" s="85"/>
      <c r="H581" s="85"/>
    </row>
    <row r="582" spans="4:8" ht="15.75">
      <c r="D582" s="85"/>
      <c r="E582" s="85"/>
      <c r="F582" s="85"/>
      <c r="G582" s="85"/>
      <c r="H582" s="85"/>
    </row>
    <row r="583" spans="4:8" ht="15.75">
      <c r="D583" s="85"/>
      <c r="E583" s="85"/>
      <c r="F583" s="85"/>
      <c r="G583" s="85"/>
      <c r="H583" s="85"/>
    </row>
    <row r="584" spans="4:8" ht="15.75">
      <c r="D584" s="85"/>
      <c r="E584" s="85"/>
      <c r="F584" s="85"/>
      <c r="G584" s="85"/>
      <c r="H584" s="85"/>
    </row>
    <row r="585" spans="4:8" ht="15.75">
      <c r="D585" s="85"/>
      <c r="E585" s="85"/>
      <c r="F585" s="85"/>
      <c r="G585" s="85"/>
      <c r="H585" s="85"/>
    </row>
    <row r="586" spans="4:8" ht="15.75">
      <c r="D586" s="85"/>
      <c r="E586" s="85"/>
      <c r="F586" s="85"/>
      <c r="G586" s="85"/>
      <c r="H586" s="85"/>
    </row>
    <row r="587" spans="4:8" ht="15.75">
      <c r="D587" s="85"/>
      <c r="E587" s="85"/>
      <c r="F587" s="85"/>
      <c r="G587" s="85"/>
      <c r="H587" s="85"/>
    </row>
    <row r="588" spans="4:8" ht="15.75">
      <c r="D588" s="85"/>
      <c r="E588" s="85"/>
      <c r="F588" s="85"/>
      <c r="G588" s="85"/>
      <c r="H588" s="85"/>
    </row>
    <row r="589" spans="4:8" ht="15.75">
      <c r="D589" s="85"/>
      <c r="E589" s="85"/>
      <c r="F589" s="85"/>
      <c r="G589" s="85"/>
      <c r="H589" s="85"/>
    </row>
    <row r="590" spans="4:8" ht="15.75">
      <c r="D590" s="85"/>
      <c r="E590" s="85"/>
      <c r="F590" s="85"/>
      <c r="G590" s="85"/>
      <c r="H590" s="85"/>
    </row>
    <row r="591" spans="4:8" ht="15.75">
      <c r="D591" s="85"/>
      <c r="E591" s="85"/>
      <c r="F591" s="85"/>
      <c r="G591" s="85"/>
      <c r="H591" s="85"/>
    </row>
    <row r="592" spans="4:8" ht="15.75">
      <c r="D592" s="85"/>
      <c r="E592" s="85"/>
      <c r="F592" s="85"/>
      <c r="G592" s="85"/>
      <c r="H592" s="85"/>
    </row>
    <row r="593" spans="4:8" ht="15.75">
      <c r="D593" s="85"/>
      <c r="E593" s="85"/>
      <c r="F593" s="85"/>
      <c r="G593" s="85"/>
      <c r="H593" s="85"/>
    </row>
    <row r="594" spans="4:8" ht="15.75">
      <c r="D594" s="85"/>
      <c r="E594" s="85"/>
      <c r="F594" s="85"/>
      <c r="G594" s="85"/>
      <c r="H594" s="85"/>
    </row>
    <row r="595" spans="4:8" ht="15.75">
      <c r="D595" s="85"/>
      <c r="E595" s="85"/>
      <c r="F595" s="85"/>
      <c r="G595" s="85"/>
      <c r="H595" s="85"/>
    </row>
    <row r="596" spans="4:8" ht="15.75">
      <c r="D596" s="85"/>
      <c r="E596" s="85"/>
      <c r="F596" s="85"/>
      <c r="G596" s="85"/>
      <c r="H596" s="85"/>
    </row>
    <row r="597" spans="4:8" ht="15.75">
      <c r="D597" s="85"/>
      <c r="E597" s="85"/>
      <c r="F597" s="85"/>
      <c r="G597" s="85"/>
      <c r="H597" s="85"/>
    </row>
    <row r="598" spans="4:8" ht="15.75">
      <c r="D598" s="85"/>
      <c r="E598" s="85"/>
      <c r="F598" s="85"/>
      <c r="G598" s="85"/>
      <c r="H598" s="85"/>
    </row>
    <row r="599" spans="4:8" ht="15.75">
      <c r="D599" s="85"/>
      <c r="E599" s="85"/>
      <c r="F599" s="85"/>
      <c r="G599" s="85"/>
      <c r="H599" s="85"/>
    </row>
    <row r="600" spans="4:8" ht="15.75">
      <c r="D600" s="85"/>
      <c r="E600" s="85"/>
      <c r="F600" s="85"/>
      <c r="G600" s="85"/>
      <c r="H600" s="85"/>
    </row>
    <row r="601" spans="4:8" ht="15.75">
      <c r="D601" s="85"/>
      <c r="E601" s="85"/>
      <c r="F601" s="85"/>
      <c r="G601" s="85"/>
      <c r="H601" s="85"/>
    </row>
    <row r="602" spans="4:8" ht="15.75">
      <c r="D602" s="85"/>
      <c r="E602" s="85"/>
      <c r="F602" s="85"/>
      <c r="G602" s="85"/>
      <c r="H602" s="85"/>
    </row>
    <row r="603" spans="4:8" ht="15.75">
      <c r="D603" s="85"/>
      <c r="E603" s="85"/>
      <c r="F603" s="85"/>
      <c r="G603" s="85"/>
      <c r="H603" s="85"/>
    </row>
    <row r="604" spans="4:8" ht="15.75">
      <c r="D604" s="85"/>
      <c r="E604" s="85"/>
      <c r="F604" s="85"/>
      <c r="G604" s="85"/>
      <c r="H604" s="85"/>
    </row>
    <row r="605" spans="4:8" ht="15.75">
      <c r="D605" s="85"/>
      <c r="E605" s="85"/>
      <c r="F605" s="85"/>
      <c r="G605" s="85"/>
      <c r="H605" s="85"/>
    </row>
    <row r="606" spans="4:8" ht="15.75">
      <c r="D606" s="85"/>
      <c r="E606" s="85"/>
      <c r="F606" s="85"/>
      <c r="G606" s="85"/>
      <c r="H606" s="85"/>
    </row>
    <row r="607" spans="4:8" ht="15.75">
      <c r="D607" s="85"/>
      <c r="E607" s="85"/>
      <c r="F607" s="85"/>
      <c r="G607" s="85"/>
      <c r="H607" s="85"/>
    </row>
    <row r="608" spans="4:8" ht="15.75">
      <c r="D608" s="85"/>
      <c r="E608" s="85"/>
      <c r="F608" s="85"/>
      <c r="G608" s="85"/>
      <c r="H608" s="85"/>
    </row>
    <row r="609" spans="4:8" ht="15.75">
      <c r="D609" s="85"/>
      <c r="E609" s="85"/>
      <c r="F609" s="85"/>
      <c r="G609" s="85"/>
      <c r="H609" s="85"/>
    </row>
    <row r="610" spans="4:8" ht="15.75">
      <c r="D610" s="85"/>
      <c r="E610" s="85"/>
      <c r="F610" s="85"/>
      <c r="G610" s="85"/>
      <c r="H610" s="85"/>
    </row>
    <row r="611" spans="4:8" ht="15.75">
      <c r="D611" s="85"/>
      <c r="E611" s="85"/>
      <c r="F611" s="85"/>
      <c r="G611" s="85"/>
      <c r="H611" s="85"/>
    </row>
    <row r="612" spans="4:8" ht="15.75">
      <c r="D612" s="85"/>
      <c r="E612" s="85"/>
      <c r="F612" s="85"/>
      <c r="G612" s="85"/>
      <c r="H612" s="85"/>
    </row>
    <row r="613" spans="4:8" ht="15.75">
      <c r="D613" s="85"/>
      <c r="E613" s="85"/>
      <c r="F613" s="85"/>
      <c r="G613" s="85"/>
      <c r="H613" s="85"/>
    </row>
    <row r="614" spans="4:8" ht="15.75">
      <c r="D614" s="85"/>
      <c r="E614" s="85"/>
      <c r="F614" s="85"/>
      <c r="G614" s="85"/>
      <c r="H614" s="85"/>
    </row>
    <row r="615" spans="4:8" ht="15.75">
      <c r="D615" s="85"/>
      <c r="E615" s="85"/>
      <c r="F615" s="85"/>
      <c r="G615" s="85"/>
      <c r="H615" s="85"/>
    </row>
    <row r="616" spans="4:8" ht="15.75">
      <c r="D616" s="85"/>
      <c r="E616" s="85"/>
      <c r="F616" s="85"/>
      <c r="G616" s="85"/>
      <c r="H616" s="85"/>
    </row>
    <row r="617" spans="4:8" ht="15.75">
      <c r="D617" s="85"/>
      <c r="E617" s="85"/>
      <c r="F617" s="85"/>
      <c r="G617" s="85"/>
      <c r="H617" s="85"/>
    </row>
    <row r="618" spans="4:8" ht="15.75">
      <c r="D618" s="85"/>
      <c r="E618" s="85"/>
      <c r="F618" s="85"/>
      <c r="G618" s="85"/>
      <c r="H618" s="85"/>
    </row>
    <row r="619" spans="4:8" ht="15.75">
      <c r="D619" s="85"/>
      <c r="E619" s="85"/>
      <c r="F619" s="85"/>
      <c r="G619" s="85"/>
      <c r="H619" s="85"/>
    </row>
    <row r="620" spans="4:8" ht="15.75">
      <c r="D620" s="85"/>
      <c r="E620" s="85"/>
      <c r="F620" s="85"/>
      <c r="G620" s="85"/>
      <c r="H620" s="85"/>
    </row>
    <row r="621" spans="4:8" ht="15.75">
      <c r="D621" s="85"/>
      <c r="E621" s="85"/>
      <c r="F621" s="85"/>
      <c r="G621" s="85"/>
      <c r="H621" s="85"/>
    </row>
    <row r="622" spans="4:8" ht="15.75">
      <c r="D622" s="85"/>
      <c r="E622" s="85"/>
      <c r="F622" s="85"/>
      <c r="G622" s="85"/>
      <c r="H622" s="85"/>
    </row>
    <row r="623" spans="4:8" ht="15.75">
      <c r="D623" s="85"/>
      <c r="E623" s="85"/>
      <c r="F623" s="85"/>
      <c r="G623" s="85"/>
      <c r="H623" s="85"/>
    </row>
    <row r="624" spans="4:8" ht="15.75">
      <c r="D624" s="85"/>
      <c r="E624" s="85"/>
      <c r="F624" s="85"/>
      <c r="G624" s="85"/>
      <c r="H624" s="85"/>
    </row>
    <row r="625" spans="4:8" ht="15.75">
      <c r="D625" s="85"/>
      <c r="E625" s="85"/>
      <c r="F625" s="85"/>
      <c r="G625" s="85"/>
      <c r="H625" s="85"/>
    </row>
    <row r="626" spans="4:8" ht="15.75">
      <c r="D626" s="85"/>
      <c r="E626" s="85"/>
      <c r="F626" s="85"/>
      <c r="G626" s="85"/>
      <c r="H626" s="85"/>
    </row>
    <row r="627" spans="4:8" ht="15.75">
      <c r="D627" s="85"/>
      <c r="E627" s="85"/>
      <c r="F627" s="85"/>
      <c r="G627" s="85"/>
      <c r="H627" s="85"/>
    </row>
    <row r="628" spans="4:8" ht="15.75">
      <c r="D628" s="85"/>
      <c r="E628" s="85"/>
      <c r="F628" s="85"/>
      <c r="G628" s="85"/>
      <c r="H628" s="85"/>
    </row>
    <row r="629" spans="4:8" ht="15.75">
      <c r="D629" s="85"/>
      <c r="E629" s="85"/>
      <c r="F629" s="85"/>
      <c r="G629" s="85"/>
      <c r="H629" s="85"/>
    </row>
    <row r="630" spans="4:8" ht="15.75">
      <c r="D630" s="85"/>
      <c r="E630" s="85"/>
      <c r="F630" s="85"/>
      <c r="G630" s="85"/>
      <c r="H630" s="85"/>
    </row>
    <row r="631" spans="4:8" ht="15.75">
      <c r="D631" s="85"/>
      <c r="E631" s="85"/>
      <c r="F631" s="85"/>
      <c r="G631" s="85"/>
      <c r="H631" s="85"/>
    </row>
    <row r="632" spans="4:8" ht="15.75">
      <c r="D632" s="85"/>
      <c r="E632" s="85"/>
      <c r="F632" s="85"/>
      <c r="G632" s="85"/>
      <c r="H632" s="85"/>
    </row>
    <row r="633" spans="4:8" ht="15.75">
      <c r="D633" s="85"/>
      <c r="E633" s="85"/>
      <c r="F633" s="85"/>
      <c r="G633" s="85"/>
      <c r="H633" s="85"/>
    </row>
    <row r="634" spans="4:8" ht="15.75">
      <c r="D634" s="85"/>
      <c r="E634" s="85"/>
      <c r="F634" s="85"/>
      <c r="G634" s="85"/>
      <c r="H634" s="85"/>
    </row>
    <row r="635" spans="4:8" ht="15.75">
      <c r="D635" s="85"/>
      <c r="E635" s="85"/>
      <c r="F635" s="85"/>
      <c r="G635" s="85"/>
      <c r="H635" s="85"/>
    </row>
    <row r="636" spans="4:8" ht="15.75">
      <c r="D636" s="85"/>
      <c r="E636" s="85"/>
      <c r="F636" s="85"/>
      <c r="G636" s="85"/>
      <c r="H636" s="85"/>
    </row>
    <row r="637" spans="4:8" ht="15.75">
      <c r="D637" s="85"/>
      <c r="E637" s="85"/>
      <c r="F637" s="85"/>
      <c r="G637" s="85"/>
      <c r="H637" s="85"/>
    </row>
    <row r="638" spans="4:8" ht="15.75">
      <c r="D638" s="85"/>
      <c r="E638" s="85"/>
      <c r="F638" s="85"/>
      <c r="G638" s="85"/>
      <c r="H638" s="85"/>
    </row>
    <row r="639" spans="4:8" ht="15.75">
      <c r="D639" s="85"/>
      <c r="E639" s="85"/>
      <c r="F639" s="85"/>
      <c r="G639" s="85"/>
      <c r="H639" s="85"/>
    </row>
    <row r="640" spans="4:8" ht="15.75">
      <c r="D640" s="85"/>
      <c r="E640" s="85"/>
      <c r="F640" s="85"/>
      <c r="G640" s="85"/>
      <c r="H640" s="85"/>
    </row>
    <row r="641" spans="4:8" ht="15.75">
      <c r="D641" s="85"/>
      <c r="E641" s="85"/>
      <c r="F641" s="85"/>
      <c r="G641" s="85"/>
      <c r="H641" s="85"/>
    </row>
    <row r="642" spans="4:8" ht="15.75">
      <c r="D642" s="85"/>
      <c r="E642" s="85"/>
      <c r="F642" s="85"/>
      <c r="G642" s="85"/>
      <c r="H642" s="85"/>
    </row>
    <row r="643" spans="4:8" ht="15.75">
      <c r="D643" s="85"/>
      <c r="E643" s="85"/>
      <c r="F643" s="85"/>
      <c r="G643" s="85"/>
      <c r="H643" s="85"/>
    </row>
    <row r="644" spans="4:8" ht="15.75">
      <c r="D644" s="85"/>
      <c r="E644" s="85"/>
      <c r="F644" s="85"/>
      <c r="G644" s="85"/>
      <c r="H644" s="85"/>
    </row>
    <row r="645" spans="4:8" ht="15.75">
      <c r="D645" s="85"/>
      <c r="E645" s="85"/>
      <c r="F645" s="85"/>
      <c r="G645" s="85"/>
      <c r="H645" s="85"/>
    </row>
    <row r="646" spans="4:8" ht="15.75">
      <c r="D646" s="85"/>
      <c r="E646" s="85"/>
      <c r="F646" s="85"/>
      <c r="G646" s="85"/>
      <c r="H646" s="85"/>
    </row>
    <row r="647" spans="4:8" ht="15.75">
      <c r="D647" s="85"/>
      <c r="E647" s="85"/>
      <c r="F647" s="85"/>
      <c r="G647" s="85"/>
      <c r="H647" s="85"/>
    </row>
    <row r="648" spans="4:8" ht="15.75">
      <c r="D648" s="85"/>
      <c r="E648" s="85"/>
      <c r="F648" s="85"/>
      <c r="G648" s="85"/>
      <c r="H648" s="85"/>
    </row>
    <row r="649" spans="4:8" ht="15.75">
      <c r="D649" s="85"/>
      <c r="E649" s="85"/>
      <c r="F649" s="85"/>
      <c r="G649" s="85"/>
      <c r="H649" s="85"/>
    </row>
    <row r="650" spans="4:8" ht="15.75">
      <c r="D650" s="85"/>
      <c r="E650" s="85"/>
      <c r="F650" s="85"/>
      <c r="G650" s="85"/>
      <c r="H650" s="85"/>
    </row>
    <row r="651" spans="4:8" ht="15.75">
      <c r="D651" s="85"/>
      <c r="E651" s="85"/>
      <c r="F651" s="85"/>
      <c r="G651" s="85"/>
      <c r="H651" s="85"/>
    </row>
    <row r="652" spans="4:8" ht="15.75">
      <c r="D652" s="85"/>
      <c r="E652" s="85"/>
      <c r="F652" s="85"/>
      <c r="G652" s="85"/>
      <c r="H652" s="85"/>
    </row>
    <row r="653" spans="4:8" ht="15.75">
      <c r="D653" s="85"/>
      <c r="E653" s="85"/>
      <c r="F653" s="85"/>
      <c r="G653" s="85"/>
      <c r="H653" s="85"/>
    </row>
    <row r="654" spans="4:8" ht="15.75">
      <c r="D654" s="85"/>
      <c r="E654" s="85"/>
      <c r="F654" s="85"/>
      <c r="G654" s="85"/>
      <c r="H654" s="85"/>
    </row>
    <row r="655" spans="4:8" ht="15.75">
      <c r="D655" s="85"/>
      <c r="E655" s="85"/>
      <c r="F655" s="85"/>
      <c r="G655" s="85"/>
      <c r="H655" s="85"/>
    </row>
    <row r="656" spans="4:8" ht="15.75">
      <c r="D656" s="85"/>
      <c r="E656" s="85"/>
      <c r="F656" s="85"/>
      <c r="G656" s="85"/>
      <c r="H656" s="85"/>
    </row>
    <row r="657" spans="4:8" ht="15.75">
      <c r="D657" s="85"/>
      <c r="E657" s="85"/>
      <c r="F657" s="85"/>
      <c r="G657" s="85"/>
      <c r="H657" s="85"/>
    </row>
    <row r="658" spans="4:8" ht="15.75">
      <c r="D658" s="85"/>
      <c r="E658" s="85"/>
      <c r="F658" s="85"/>
      <c r="G658" s="85"/>
      <c r="H658" s="85"/>
    </row>
    <row r="659" spans="4:8" ht="15.75">
      <c r="D659" s="85"/>
      <c r="E659" s="85"/>
      <c r="F659" s="85"/>
      <c r="G659" s="85"/>
      <c r="H659" s="85"/>
    </row>
    <row r="660" spans="4:8" ht="15.75">
      <c r="D660" s="85"/>
      <c r="E660" s="85"/>
      <c r="F660" s="85"/>
      <c r="G660" s="85"/>
      <c r="H660" s="85"/>
    </row>
    <row r="661" spans="4:8" ht="15.75">
      <c r="D661" s="85"/>
      <c r="E661" s="85"/>
      <c r="F661" s="85"/>
      <c r="G661" s="85"/>
      <c r="H661" s="85"/>
    </row>
    <row r="662" spans="4:8" ht="15.75">
      <c r="D662" s="85"/>
      <c r="E662" s="85"/>
      <c r="F662" s="85"/>
      <c r="G662" s="85"/>
      <c r="H662" s="85"/>
    </row>
    <row r="663" spans="4:8" ht="15.75">
      <c r="D663" s="85"/>
      <c r="E663" s="85"/>
      <c r="F663" s="85"/>
      <c r="G663" s="85"/>
      <c r="H663" s="85"/>
    </row>
    <row r="664" spans="4:8" ht="15.75">
      <c r="D664" s="85"/>
      <c r="E664" s="85"/>
      <c r="F664" s="85"/>
      <c r="G664" s="85"/>
      <c r="H664" s="85"/>
    </row>
    <row r="665" spans="4:8" ht="15.75">
      <c r="D665" s="85"/>
      <c r="E665" s="85"/>
      <c r="F665" s="85"/>
      <c r="G665" s="85"/>
      <c r="H665" s="85"/>
    </row>
    <row r="666" spans="4:8" ht="15.75">
      <c r="D666" s="85"/>
      <c r="E666" s="85"/>
      <c r="F666" s="85"/>
      <c r="G666" s="85"/>
      <c r="H666" s="85"/>
    </row>
    <row r="667" spans="4:8" ht="15.75">
      <c r="D667" s="85"/>
      <c r="E667" s="85"/>
      <c r="F667" s="85"/>
      <c r="G667" s="85"/>
      <c r="H667" s="85"/>
    </row>
    <row r="668" spans="4:8" ht="15.75">
      <c r="D668" s="85"/>
      <c r="E668" s="85"/>
      <c r="F668" s="85"/>
      <c r="G668" s="85"/>
      <c r="H668" s="85"/>
    </row>
    <row r="669" spans="4:8" ht="15.75">
      <c r="D669" s="85"/>
      <c r="E669" s="85"/>
      <c r="F669" s="85"/>
      <c r="G669" s="85"/>
      <c r="H669" s="85"/>
    </row>
    <row r="670" spans="4:8" ht="15.75">
      <c r="D670" s="85"/>
      <c r="E670" s="85"/>
      <c r="F670" s="85"/>
      <c r="G670" s="85"/>
      <c r="H670" s="85"/>
    </row>
    <row r="671" spans="4:8" ht="15.75">
      <c r="D671" s="85"/>
      <c r="E671" s="85"/>
      <c r="F671" s="85"/>
      <c r="G671" s="85"/>
      <c r="H671" s="85"/>
    </row>
    <row r="672" spans="4:8" ht="15.75">
      <c r="D672" s="85"/>
      <c r="E672" s="85"/>
      <c r="F672" s="85"/>
      <c r="G672" s="85"/>
      <c r="H672" s="85"/>
    </row>
    <row r="673" spans="4:8" ht="15.75">
      <c r="D673" s="85"/>
      <c r="E673" s="85"/>
      <c r="F673" s="85"/>
      <c r="G673" s="85"/>
      <c r="H673" s="85"/>
    </row>
    <row r="674" spans="4:8" ht="15.75">
      <c r="D674" s="85"/>
      <c r="E674" s="85"/>
      <c r="F674" s="85"/>
      <c r="G674" s="85"/>
      <c r="H674" s="85"/>
    </row>
    <row r="675" spans="4:8" ht="15.75">
      <c r="D675" s="85"/>
      <c r="E675" s="85"/>
      <c r="F675" s="85"/>
      <c r="G675" s="85"/>
      <c r="H675" s="85"/>
    </row>
    <row r="676" spans="4:8" ht="15.75">
      <c r="D676" s="85"/>
      <c r="E676" s="85"/>
      <c r="F676" s="85"/>
      <c r="G676" s="85"/>
      <c r="H676" s="85"/>
    </row>
    <row r="677" spans="4:8" ht="15.75">
      <c r="D677" s="85"/>
      <c r="E677" s="85"/>
      <c r="F677" s="85"/>
      <c r="G677" s="85"/>
      <c r="H677" s="85"/>
    </row>
    <row r="678" spans="4:8" ht="15.75">
      <c r="D678" s="85"/>
      <c r="E678" s="85"/>
      <c r="F678" s="85"/>
      <c r="G678" s="85"/>
      <c r="H678" s="85"/>
    </row>
    <row r="679" spans="4:8" ht="15.75">
      <c r="D679" s="85"/>
      <c r="E679" s="85"/>
      <c r="F679" s="85"/>
      <c r="G679" s="85"/>
      <c r="H679" s="85"/>
    </row>
    <row r="680" spans="4:8" ht="15.75">
      <c r="D680" s="85"/>
      <c r="E680" s="85"/>
      <c r="F680" s="85"/>
      <c r="G680" s="85"/>
      <c r="H680" s="85"/>
    </row>
    <row r="681" spans="4:8" ht="15.75">
      <c r="D681" s="85"/>
      <c r="E681" s="85"/>
      <c r="F681" s="85"/>
      <c r="G681" s="85"/>
      <c r="H681" s="85"/>
    </row>
    <row r="682" spans="4:8" ht="15.75">
      <c r="D682" s="85"/>
      <c r="E682" s="85"/>
      <c r="F682" s="85"/>
      <c r="G682" s="85"/>
      <c r="H682" s="85"/>
    </row>
    <row r="683" spans="4:8" ht="15.75">
      <c r="D683" s="85"/>
      <c r="E683" s="85"/>
      <c r="F683" s="85"/>
      <c r="G683" s="85"/>
      <c r="H683" s="85"/>
    </row>
    <row r="684" spans="4:8" ht="15.75">
      <c r="D684" s="85"/>
      <c r="E684" s="85"/>
      <c r="F684" s="85"/>
      <c r="G684" s="85"/>
      <c r="H684" s="85"/>
    </row>
    <row r="685" spans="4:8" ht="15.75">
      <c r="D685" s="85"/>
      <c r="E685" s="85"/>
      <c r="F685" s="85"/>
      <c r="G685" s="85"/>
      <c r="H685" s="85"/>
    </row>
    <row r="686" spans="4:8" ht="15.75">
      <c r="D686" s="85"/>
      <c r="E686" s="85"/>
      <c r="F686" s="85"/>
      <c r="G686" s="85"/>
      <c r="H686" s="85"/>
    </row>
    <row r="687" spans="4:8" ht="15.75">
      <c r="D687" s="85"/>
      <c r="E687" s="85"/>
      <c r="F687" s="85"/>
      <c r="G687" s="85"/>
      <c r="H687" s="85"/>
    </row>
    <row r="688" spans="4:8" ht="15.75">
      <c r="D688" s="85"/>
      <c r="E688" s="85"/>
      <c r="F688" s="85"/>
      <c r="G688" s="85"/>
      <c r="H688" s="85"/>
    </row>
    <row r="689" spans="4:8" ht="15.75">
      <c r="D689" s="85"/>
      <c r="E689" s="85"/>
      <c r="F689" s="85"/>
      <c r="G689" s="85"/>
      <c r="H689" s="85"/>
    </row>
    <row r="690" spans="4:8" ht="15.75">
      <c r="D690" s="85"/>
      <c r="E690" s="85"/>
      <c r="F690" s="85"/>
      <c r="G690" s="85"/>
      <c r="H690" s="85"/>
    </row>
    <row r="691" spans="4:8" ht="15.75">
      <c r="D691" s="85"/>
      <c r="E691" s="85"/>
      <c r="F691" s="85"/>
      <c r="G691" s="85"/>
      <c r="H691" s="85"/>
    </row>
    <row r="692" spans="4:8" ht="15.75">
      <c r="D692" s="85"/>
      <c r="E692" s="85"/>
      <c r="F692" s="85"/>
      <c r="G692" s="85"/>
      <c r="H692" s="85"/>
    </row>
    <row r="693" spans="4:8" ht="15.75">
      <c r="D693" s="85"/>
      <c r="E693" s="85"/>
      <c r="F693" s="85"/>
      <c r="G693" s="85"/>
      <c r="H693" s="85"/>
    </row>
    <row r="694" spans="4:8" ht="15.75">
      <c r="D694" s="85"/>
      <c r="E694" s="85"/>
      <c r="F694" s="85"/>
      <c r="G694" s="85"/>
      <c r="H694" s="85"/>
    </row>
    <row r="695" spans="4:8" ht="15.75">
      <c r="D695" s="85"/>
      <c r="E695" s="85"/>
      <c r="F695" s="85"/>
      <c r="G695" s="85"/>
      <c r="H695" s="85"/>
    </row>
    <row r="696" spans="4:8" ht="15.75">
      <c r="D696" s="85"/>
      <c r="E696" s="85"/>
      <c r="F696" s="85"/>
      <c r="G696" s="85"/>
      <c r="H696" s="85"/>
    </row>
    <row r="697" spans="4:8" ht="15.75">
      <c r="D697" s="85"/>
      <c r="E697" s="85"/>
      <c r="F697" s="85"/>
      <c r="G697" s="85"/>
      <c r="H697" s="85"/>
    </row>
    <row r="698" spans="4:8" ht="15.75">
      <c r="D698" s="85"/>
      <c r="E698" s="85"/>
      <c r="F698" s="85"/>
      <c r="G698" s="85"/>
      <c r="H698" s="85"/>
    </row>
    <row r="699" spans="4:8" ht="15.75">
      <c r="D699" s="85"/>
      <c r="E699" s="85"/>
      <c r="F699" s="85"/>
      <c r="G699" s="85"/>
      <c r="H699" s="85"/>
    </row>
    <row r="700" spans="4:8" ht="15.75">
      <c r="D700" s="85"/>
      <c r="E700" s="85"/>
      <c r="F700" s="85"/>
      <c r="G700" s="85"/>
      <c r="H700" s="85"/>
    </row>
    <row r="701" spans="4:8" ht="15.75">
      <c r="D701" s="85"/>
      <c r="E701" s="85"/>
      <c r="F701" s="85"/>
      <c r="G701" s="85"/>
      <c r="H701" s="85"/>
    </row>
    <row r="702" spans="4:8" ht="15.75">
      <c r="D702" s="85"/>
      <c r="E702" s="85"/>
      <c r="F702" s="85"/>
      <c r="G702" s="85"/>
      <c r="H702" s="85"/>
    </row>
    <row r="703" spans="4:8" ht="15.75">
      <c r="D703" s="85"/>
      <c r="E703" s="85"/>
      <c r="F703" s="85"/>
      <c r="G703" s="85"/>
      <c r="H703" s="85"/>
    </row>
    <row r="704" spans="4:8" ht="15.75">
      <c r="D704" s="85"/>
      <c r="E704" s="85"/>
      <c r="F704" s="85"/>
      <c r="G704" s="85"/>
      <c r="H704" s="85"/>
    </row>
    <row r="705" spans="4:8" ht="15.75">
      <c r="D705" s="85"/>
      <c r="E705" s="85"/>
      <c r="F705" s="85"/>
      <c r="G705" s="85"/>
      <c r="H705" s="85"/>
    </row>
    <row r="706" spans="4:8" ht="15.75">
      <c r="D706" s="85"/>
      <c r="E706" s="85"/>
      <c r="F706" s="85"/>
      <c r="G706" s="85"/>
      <c r="H706" s="85"/>
    </row>
    <row r="707" spans="4:8" ht="15.75">
      <c r="D707" s="85"/>
      <c r="E707" s="85"/>
      <c r="F707" s="85"/>
      <c r="G707" s="85"/>
      <c r="H707" s="85"/>
    </row>
    <row r="708" spans="4:8" ht="15.75">
      <c r="D708" s="85"/>
      <c r="E708" s="85"/>
      <c r="F708" s="85"/>
      <c r="G708" s="85"/>
      <c r="H708" s="85"/>
    </row>
    <row r="709" spans="4:8" ht="15.75">
      <c r="D709" s="85"/>
      <c r="E709" s="85"/>
      <c r="F709" s="85"/>
      <c r="G709" s="85"/>
      <c r="H709" s="85"/>
    </row>
    <row r="710" spans="4:8" ht="15.75">
      <c r="D710" s="85"/>
      <c r="E710" s="85"/>
      <c r="F710" s="85"/>
      <c r="G710" s="85"/>
      <c r="H710" s="85"/>
    </row>
    <row r="711" spans="4:8" ht="15.75">
      <c r="D711" s="85"/>
      <c r="E711" s="85"/>
      <c r="F711" s="85"/>
      <c r="G711" s="85"/>
      <c r="H711" s="85"/>
    </row>
    <row r="712" spans="4:8" ht="15.75">
      <c r="D712" s="85"/>
      <c r="E712" s="85"/>
      <c r="F712" s="85"/>
      <c r="G712" s="85"/>
      <c r="H712" s="85"/>
    </row>
    <row r="713" spans="4:8" ht="15.75">
      <c r="D713" s="85"/>
      <c r="E713" s="85"/>
      <c r="F713" s="85"/>
      <c r="G713" s="85"/>
      <c r="H713" s="85"/>
    </row>
    <row r="714" spans="4:8" ht="15.75">
      <c r="D714" s="85"/>
      <c r="E714" s="85"/>
      <c r="F714" s="85"/>
      <c r="G714" s="85"/>
      <c r="H714" s="85"/>
    </row>
    <row r="715" spans="4:8" ht="15.75">
      <c r="D715" s="85"/>
      <c r="E715" s="85"/>
      <c r="F715" s="85"/>
      <c r="G715" s="85"/>
      <c r="H715" s="85"/>
    </row>
    <row r="716" spans="4:8" ht="15.75">
      <c r="D716" s="85"/>
      <c r="E716" s="85"/>
      <c r="F716" s="85"/>
      <c r="G716" s="85"/>
      <c r="H716" s="85"/>
    </row>
    <row r="717" spans="4:8" ht="15.75">
      <c r="D717" s="85"/>
      <c r="E717" s="85"/>
      <c r="F717" s="85"/>
      <c r="G717" s="85"/>
      <c r="H717" s="85"/>
    </row>
    <row r="718" spans="4:8" ht="15.75">
      <c r="D718" s="85"/>
      <c r="E718" s="85"/>
      <c r="F718" s="85"/>
      <c r="G718" s="85"/>
      <c r="H718" s="85"/>
    </row>
    <row r="719" spans="4:8" ht="15.75">
      <c r="D719" s="85"/>
      <c r="E719" s="85"/>
      <c r="F719" s="85"/>
      <c r="G719" s="85"/>
      <c r="H719" s="85"/>
    </row>
    <row r="720" spans="4:8" ht="15.75">
      <c r="D720" s="85"/>
      <c r="E720" s="85"/>
      <c r="F720" s="85"/>
      <c r="G720" s="85"/>
      <c r="H720" s="85"/>
    </row>
    <row r="721" spans="4:8" ht="15.75">
      <c r="D721" s="85"/>
      <c r="E721" s="85"/>
      <c r="F721" s="85"/>
      <c r="G721" s="85"/>
      <c r="H721" s="85"/>
    </row>
    <row r="722" spans="4:8" ht="15.75">
      <c r="D722" s="85"/>
      <c r="E722" s="85"/>
      <c r="F722" s="85"/>
      <c r="G722" s="85"/>
      <c r="H722" s="85"/>
    </row>
    <row r="723" spans="4:8" ht="15.75">
      <c r="D723" s="85"/>
      <c r="E723" s="85"/>
      <c r="F723" s="85"/>
      <c r="G723" s="85"/>
      <c r="H723" s="85"/>
    </row>
    <row r="724" spans="4:8" ht="15.75">
      <c r="D724" s="85"/>
      <c r="E724" s="85"/>
      <c r="F724" s="85"/>
      <c r="G724" s="85"/>
      <c r="H724" s="85"/>
    </row>
    <row r="725" spans="4:8" ht="15.75">
      <c r="D725" s="85"/>
      <c r="E725" s="85"/>
      <c r="F725" s="85"/>
      <c r="G725" s="85"/>
      <c r="H725" s="85"/>
    </row>
    <row r="726" spans="4:8" ht="15.75">
      <c r="D726" s="85"/>
      <c r="E726" s="85"/>
      <c r="F726" s="85"/>
      <c r="G726" s="85"/>
      <c r="H726" s="85"/>
    </row>
    <row r="727" spans="4:8" ht="15.75">
      <c r="D727" s="85"/>
      <c r="E727" s="85"/>
      <c r="F727" s="85"/>
      <c r="G727" s="85"/>
      <c r="H727" s="85"/>
    </row>
    <row r="728" spans="4:8" ht="15.75">
      <c r="D728" s="85"/>
      <c r="E728" s="85"/>
      <c r="F728" s="85"/>
      <c r="G728" s="85"/>
      <c r="H728" s="85"/>
    </row>
    <row r="729" spans="4:8" ht="15.75">
      <c r="D729" s="85"/>
      <c r="E729" s="85"/>
      <c r="F729" s="85"/>
      <c r="G729" s="85"/>
      <c r="H729" s="85"/>
    </row>
    <row r="730" spans="4:8" ht="15.75">
      <c r="D730" s="85"/>
      <c r="E730" s="85"/>
      <c r="F730" s="85"/>
      <c r="G730" s="85"/>
      <c r="H730" s="85"/>
    </row>
    <row r="731" spans="4:8" ht="15.75">
      <c r="D731" s="85"/>
      <c r="E731" s="85"/>
      <c r="F731" s="85"/>
      <c r="G731" s="85"/>
      <c r="H731" s="85"/>
    </row>
    <row r="732" spans="4:8" ht="15.75">
      <c r="D732" s="85"/>
      <c r="E732" s="85"/>
      <c r="F732" s="85"/>
      <c r="G732" s="85"/>
      <c r="H732" s="85"/>
    </row>
    <row r="733" spans="4:8" ht="15.75">
      <c r="D733" s="85"/>
      <c r="E733" s="85"/>
      <c r="F733" s="85"/>
      <c r="G733" s="85"/>
      <c r="H733" s="85"/>
    </row>
    <row r="734" spans="4:8" ht="15.75">
      <c r="D734" s="85"/>
      <c r="E734" s="85"/>
      <c r="F734" s="85"/>
      <c r="G734" s="85"/>
      <c r="H734" s="85"/>
    </row>
    <row r="735" spans="4:8" ht="15.75">
      <c r="D735" s="85"/>
      <c r="E735" s="85"/>
      <c r="F735" s="85"/>
      <c r="G735" s="85"/>
      <c r="H735" s="85"/>
    </row>
    <row r="736" spans="4:8" ht="15.75">
      <c r="D736" s="85"/>
      <c r="E736" s="85"/>
      <c r="F736" s="85"/>
      <c r="G736" s="85"/>
      <c r="H736" s="85"/>
    </row>
    <row r="737" spans="4:8" ht="15.75">
      <c r="D737" s="85"/>
      <c r="E737" s="85"/>
      <c r="F737" s="85"/>
      <c r="G737" s="85"/>
      <c r="H737" s="85"/>
    </row>
    <row r="738" spans="4:8" ht="15.75">
      <c r="D738" s="85"/>
      <c r="E738" s="85"/>
      <c r="F738" s="85"/>
      <c r="G738" s="85"/>
      <c r="H738" s="85"/>
    </row>
    <row r="739" spans="4:8" ht="15.75">
      <c r="D739" s="85"/>
      <c r="E739" s="85"/>
      <c r="F739" s="85"/>
      <c r="G739" s="85"/>
      <c r="H739" s="85"/>
    </row>
    <row r="740" spans="4:8" ht="15.75">
      <c r="D740" s="85"/>
      <c r="E740" s="85"/>
      <c r="F740" s="85"/>
      <c r="G740" s="85"/>
      <c r="H740" s="85"/>
    </row>
    <row r="741" spans="4:8" ht="15.75">
      <c r="D741" s="85"/>
      <c r="E741" s="85"/>
      <c r="F741" s="85"/>
      <c r="G741" s="85"/>
      <c r="H741" s="85"/>
    </row>
    <row r="742" spans="4:8" ht="15.75">
      <c r="D742" s="85"/>
      <c r="E742" s="85"/>
      <c r="F742" s="85"/>
      <c r="G742" s="85"/>
      <c r="H742" s="85"/>
    </row>
    <row r="743" spans="4:8" ht="15.75">
      <c r="D743" s="85"/>
      <c r="E743" s="85"/>
      <c r="F743" s="85"/>
      <c r="G743" s="85"/>
      <c r="H743" s="85"/>
    </row>
    <row r="744" spans="4:8" ht="15.75">
      <c r="D744" s="85"/>
      <c r="E744" s="85"/>
      <c r="F744" s="85"/>
      <c r="G744" s="85"/>
      <c r="H744" s="85"/>
    </row>
    <row r="745" spans="4:8" ht="15.75">
      <c r="D745" s="85"/>
      <c r="E745" s="85"/>
      <c r="F745" s="85"/>
      <c r="G745" s="85"/>
      <c r="H745" s="85"/>
    </row>
    <row r="746" spans="4:8" ht="15.75">
      <c r="D746" s="85"/>
      <c r="E746" s="85"/>
      <c r="F746" s="85"/>
      <c r="G746" s="85"/>
      <c r="H746" s="85"/>
    </row>
    <row r="747" spans="4:8" ht="15.75">
      <c r="D747" s="85"/>
      <c r="E747" s="85"/>
      <c r="F747" s="85"/>
      <c r="G747" s="85"/>
      <c r="H747" s="85"/>
    </row>
    <row r="748" spans="4:8" ht="15.75">
      <c r="D748" s="85"/>
      <c r="E748" s="85"/>
      <c r="F748" s="85"/>
      <c r="G748" s="85"/>
      <c r="H748" s="85"/>
    </row>
    <row r="749" spans="4:8" ht="15.75">
      <c r="D749" s="85"/>
      <c r="E749" s="85"/>
      <c r="F749" s="85"/>
      <c r="G749" s="85"/>
      <c r="H749" s="85"/>
    </row>
    <row r="750" spans="4:8" ht="15.75">
      <c r="D750" s="85"/>
      <c r="E750" s="85"/>
      <c r="F750" s="85"/>
      <c r="G750" s="85"/>
      <c r="H750" s="85"/>
    </row>
    <row r="751" spans="4:8" ht="15.75">
      <c r="D751" s="85"/>
      <c r="E751" s="85"/>
      <c r="F751" s="85"/>
      <c r="G751" s="85"/>
      <c r="H751" s="85"/>
    </row>
    <row r="752" spans="4:8" ht="15.75">
      <c r="D752" s="85"/>
      <c r="E752" s="85"/>
      <c r="F752" s="85"/>
      <c r="G752" s="85"/>
      <c r="H752" s="85"/>
    </row>
    <row r="753" spans="4:8" ht="15.75">
      <c r="D753" s="85"/>
      <c r="E753" s="85"/>
      <c r="F753" s="85"/>
      <c r="G753" s="85"/>
      <c r="H753" s="85"/>
    </row>
    <row r="754" spans="4:8" ht="15.75">
      <c r="D754" s="85"/>
      <c r="E754" s="85"/>
      <c r="F754" s="85"/>
      <c r="G754" s="85"/>
      <c r="H754" s="85"/>
    </row>
    <row r="755" spans="4:8" ht="15.75">
      <c r="D755" s="85"/>
      <c r="E755" s="85"/>
      <c r="F755" s="85"/>
      <c r="G755" s="85"/>
      <c r="H755" s="85"/>
    </row>
    <row r="756" spans="4:8" ht="15.75">
      <c r="D756" s="85"/>
      <c r="E756" s="85"/>
      <c r="F756" s="85"/>
      <c r="G756" s="85"/>
      <c r="H756" s="85"/>
    </row>
    <row r="757" spans="4:8" ht="15.75">
      <c r="D757" s="85"/>
      <c r="E757" s="85"/>
      <c r="F757" s="85"/>
      <c r="G757" s="85"/>
      <c r="H757" s="85"/>
    </row>
    <row r="758" spans="4:8" ht="15.75">
      <c r="D758" s="85"/>
      <c r="E758" s="85"/>
      <c r="F758" s="85"/>
      <c r="G758" s="85"/>
      <c r="H758" s="85"/>
    </row>
    <row r="759" spans="4:8" ht="15.75">
      <c r="D759" s="85"/>
      <c r="E759" s="85"/>
      <c r="F759" s="85"/>
      <c r="G759" s="85"/>
      <c r="H759" s="85"/>
    </row>
    <row r="760" spans="4:8" ht="15.75">
      <c r="D760" s="85"/>
      <c r="E760" s="85"/>
      <c r="F760" s="85"/>
      <c r="G760" s="85"/>
      <c r="H760" s="85"/>
    </row>
    <row r="761" spans="4:8" ht="15.75">
      <c r="D761" s="85"/>
      <c r="E761" s="85"/>
      <c r="F761" s="85"/>
      <c r="G761" s="85"/>
      <c r="H761" s="85"/>
    </row>
    <row r="762" spans="4:8" ht="15.75">
      <c r="D762" s="85"/>
      <c r="E762" s="85"/>
      <c r="F762" s="85"/>
      <c r="G762" s="85"/>
      <c r="H762" s="85"/>
    </row>
    <row r="763" spans="4:8" ht="15.75">
      <c r="D763" s="85"/>
      <c r="E763" s="85"/>
      <c r="F763" s="85"/>
      <c r="G763" s="85"/>
      <c r="H763" s="85"/>
    </row>
    <row r="764" spans="4:8" ht="15.75">
      <c r="D764" s="85"/>
      <c r="E764" s="85"/>
      <c r="F764" s="85"/>
      <c r="G764" s="85"/>
      <c r="H764" s="85"/>
    </row>
    <row r="765" spans="4:8" ht="15.75">
      <c r="D765" s="85"/>
      <c r="E765" s="85"/>
      <c r="F765" s="85"/>
      <c r="G765" s="85"/>
      <c r="H765" s="85"/>
    </row>
    <row r="766" spans="4:8" ht="15.75">
      <c r="D766" s="85"/>
      <c r="E766" s="85"/>
      <c r="F766" s="85"/>
      <c r="G766" s="85"/>
      <c r="H766" s="85"/>
    </row>
    <row r="767" spans="4:8" ht="15.75">
      <c r="D767" s="85"/>
      <c r="E767" s="85"/>
      <c r="F767" s="85"/>
      <c r="G767" s="85"/>
      <c r="H767" s="85"/>
    </row>
    <row r="768" spans="4:8" ht="15.75">
      <c r="D768" s="85"/>
      <c r="E768" s="85"/>
      <c r="F768" s="85"/>
      <c r="G768" s="85"/>
      <c r="H768" s="85"/>
    </row>
    <row r="769" spans="4:8" ht="15.75">
      <c r="D769" s="85"/>
      <c r="E769" s="85"/>
      <c r="F769" s="85"/>
      <c r="G769" s="85"/>
      <c r="H769" s="85"/>
    </row>
    <row r="770" spans="4:8" ht="15.75">
      <c r="D770" s="85"/>
      <c r="E770" s="85"/>
      <c r="F770" s="85"/>
      <c r="G770" s="85"/>
      <c r="H770" s="85"/>
    </row>
    <row r="771" spans="4:8" ht="15.75">
      <c r="D771" s="85"/>
      <c r="E771" s="85"/>
      <c r="F771" s="85"/>
      <c r="G771" s="85"/>
      <c r="H771" s="85"/>
    </row>
    <row r="772" spans="4:8" ht="15.75">
      <c r="D772" s="85"/>
      <c r="E772" s="85"/>
      <c r="F772" s="85"/>
      <c r="G772" s="85"/>
      <c r="H772" s="85"/>
    </row>
    <row r="773" spans="4:8" ht="15.75">
      <c r="D773" s="85"/>
      <c r="E773" s="85"/>
      <c r="F773" s="85"/>
      <c r="G773" s="85"/>
      <c r="H773" s="85"/>
    </row>
    <row r="774" spans="4:8" ht="15.75">
      <c r="D774" s="85"/>
      <c r="E774" s="85"/>
      <c r="F774" s="85"/>
      <c r="G774" s="85"/>
      <c r="H774" s="85"/>
    </row>
    <row r="775" spans="4:8" ht="15.75">
      <c r="D775" s="85"/>
      <c r="E775" s="85"/>
      <c r="F775" s="85"/>
      <c r="G775" s="85"/>
      <c r="H775" s="85"/>
    </row>
    <row r="776" spans="4:8" ht="15.75">
      <c r="D776" s="85"/>
      <c r="E776" s="85"/>
      <c r="F776" s="85"/>
      <c r="G776" s="85"/>
      <c r="H776" s="85"/>
    </row>
    <row r="777" spans="4:8" ht="15.75">
      <c r="D777" s="85"/>
      <c r="E777" s="85"/>
      <c r="F777" s="85"/>
      <c r="G777" s="85"/>
      <c r="H777" s="85"/>
    </row>
    <row r="778" spans="4:8" ht="15.75">
      <c r="D778" s="85"/>
      <c r="E778" s="85"/>
      <c r="F778" s="85"/>
      <c r="G778" s="85"/>
      <c r="H778" s="85"/>
    </row>
    <row r="779" spans="4:8" ht="15.75">
      <c r="D779" s="85"/>
      <c r="E779" s="85"/>
      <c r="F779" s="85"/>
      <c r="G779" s="85"/>
      <c r="H779" s="85"/>
    </row>
    <row r="780" spans="4:8" ht="15.75">
      <c r="D780" s="85"/>
      <c r="E780" s="85"/>
      <c r="F780" s="85"/>
      <c r="G780" s="85"/>
      <c r="H780" s="85"/>
    </row>
    <row r="781" spans="4:8" ht="15.75">
      <c r="D781" s="85"/>
      <c r="E781" s="85"/>
      <c r="F781" s="85"/>
      <c r="G781" s="85"/>
      <c r="H781" s="85"/>
    </row>
    <row r="782" spans="4:8" ht="15.75">
      <c r="D782" s="85"/>
      <c r="E782" s="85"/>
      <c r="F782" s="85"/>
      <c r="G782" s="85"/>
      <c r="H782" s="85"/>
    </row>
    <row r="783" spans="4:8" ht="15.75">
      <c r="D783" s="85"/>
      <c r="E783" s="85"/>
      <c r="F783" s="85"/>
      <c r="G783" s="85"/>
      <c r="H783" s="85"/>
    </row>
    <row r="784" spans="4:8" ht="15.75">
      <c r="D784" s="85"/>
      <c r="E784" s="85"/>
      <c r="F784" s="85"/>
      <c r="G784" s="85"/>
      <c r="H784" s="85"/>
    </row>
    <row r="785" spans="4:8" ht="15.75">
      <c r="D785" s="85"/>
      <c r="E785" s="85"/>
      <c r="F785" s="85"/>
      <c r="G785" s="85"/>
      <c r="H785" s="85"/>
    </row>
    <row r="786" spans="4:8" ht="15.75">
      <c r="D786" s="85"/>
      <c r="E786" s="85"/>
      <c r="F786" s="85"/>
      <c r="G786" s="85"/>
      <c r="H786" s="85"/>
    </row>
    <row r="787" spans="4:8" ht="15.75">
      <c r="D787" s="85"/>
      <c r="E787" s="85"/>
      <c r="F787" s="85"/>
      <c r="G787" s="85"/>
      <c r="H787" s="85"/>
    </row>
    <row r="788" spans="4:8" ht="15.75">
      <c r="D788" s="85"/>
      <c r="E788" s="85"/>
      <c r="F788" s="85"/>
      <c r="G788" s="85"/>
      <c r="H788" s="85"/>
    </row>
    <row r="789" spans="4:8" ht="15.75">
      <c r="D789" s="85"/>
      <c r="E789" s="85"/>
      <c r="F789" s="85"/>
      <c r="G789" s="85"/>
      <c r="H789" s="85"/>
    </row>
    <row r="790" spans="4:8" ht="15.75">
      <c r="D790" s="85"/>
      <c r="E790" s="85"/>
      <c r="F790" s="85"/>
      <c r="G790" s="85"/>
      <c r="H790" s="85"/>
    </row>
    <row r="791" spans="4:8" ht="15.75">
      <c r="D791" s="85"/>
      <c r="E791" s="85"/>
      <c r="F791" s="85"/>
      <c r="G791" s="85"/>
      <c r="H791" s="85"/>
    </row>
    <row r="792" spans="4:8" ht="15.75">
      <c r="D792" s="85"/>
      <c r="E792" s="85"/>
      <c r="F792" s="85"/>
      <c r="G792" s="85"/>
      <c r="H792" s="85"/>
    </row>
    <row r="793" spans="4:8" ht="15.75">
      <c r="D793" s="85"/>
      <c r="E793" s="85"/>
      <c r="F793" s="85"/>
      <c r="G793" s="85"/>
      <c r="H793" s="85"/>
    </row>
    <row r="794" spans="4:8" ht="15.75">
      <c r="D794" s="85"/>
      <c r="E794" s="85"/>
      <c r="F794" s="85"/>
      <c r="G794" s="85"/>
      <c r="H794" s="85"/>
    </row>
    <row r="795" spans="4:8" ht="15.75">
      <c r="D795" s="85"/>
      <c r="E795" s="85"/>
      <c r="F795" s="85"/>
      <c r="G795" s="85"/>
      <c r="H795" s="85"/>
    </row>
    <row r="796" spans="4:8" ht="15.75">
      <c r="D796" s="85"/>
      <c r="E796" s="85"/>
      <c r="F796" s="85"/>
      <c r="G796" s="85"/>
      <c r="H796" s="85"/>
    </row>
    <row r="797" spans="4:8" ht="15.75">
      <c r="D797" s="85"/>
      <c r="E797" s="85"/>
      <c r="F797" s="85"/>
      <c r="G797" s="85"/>
      <c r="H797" s="85"/>
    </row>
    <row r="798" spans="4:8" ht="15.75">
      <c r="D798" s="85"/>
      <c r="E798" s="85"/>
      <c r="F798" s="85"/>
      <c r="G798" s="85"/>
      <c r="H798" s="85"/>
    </row>
    <row r="799" spans="4:8" ht="15.75">
      <c r="D799" s="85"/>
      <c r="E799" s="85"/>
      <c r="F799" s="85"/>
      <c r="G799" s="85"/>
      <c r="H799" s="85"/>
    </row>
    <row r="800" spans="4:8" ht="15.75">
      <c r="D800" s="85"/>
      <c r="E800" s="85"/>
      <c r="F800" s="85"/>
      <c r="G800" s="85"/>
      <c r="H800" s="85"/>
    </row>
    <row r="801" spans="4:8" ht="15.75">
      <c r="D801" s="85"/>
      <c r="E801" s="85"/>
      <c r="F801" s="85"/>
      <c r="G801" s="85"/>
      <c r="H801" s="85"/>
    </row>
    <row r="802" spans="4:8" ht="15.75">
      <c r="D802" s="85"/>
      <c r="E802" s="85"/>
      <c r="F802" s="85"/>
      <c r="G802" s="85"/>
      <c r="H802" s="85"/>
    </row>
    <row r="803" spans="4:8" ht="15.75">
      <c r="D803" s="85"/>
      <c r="E803" s="85"/>
      <c r="F803" s="85"/>
      <c r="G803" s="85"/>
      <c r="H803" s="85"/>
    </row>
    <row r="804" spans="4:8" ht="15.75">
      <c r="D804" s="85"/>
      <c r="E804" s="85"/>
      <c r="F804" s="85"/>
      <c r="G804" s="85"/>
      <c r="H804" s="85"/>
    </row>
    <row r="805" spans="4:8" ht="15.75">
      <c r="D805" s="85"/>
      <c r="E805" s="85"/>
      <c r="F805" s="85"/>
      <c r="G805" s="85"/>
      <c r="H805" s="85"/>
    </row>
    <row r="806" spans="4:8" ht="15.75">
      <c r="D806" s="85"/>
      <c r="E806" s="85"/>
      <c r="F806" s="85"/>
      <c r="G806" s="85"/>
      <c r="H806" s="85"/>
    </row>
    <row r="807" spans="4:8" ht="15.75">
      <c r="D807" s="85"/>
      <c r="E807" s="85"/>
      <c r="F807" s="85"/>
      <c r="G807" s="85"/>
      <c r="H807" s="85"/>
    </row>
    <row r="808" spans="4:8" ht="15.75">
      <c r="D808" s="85"/>
      <c r="E808" s="85"/>
      <c r="F808" s="85"/>
      <c r="G808" s="85"/>
      <c r="H808" s="85"/>
    </row>
    <row r="809" spans="4:8" ht="15.75">
      <c r="D809" s="85"/>
      <c r="E809" s="85"/>
      <c r="F809" s="85"/>
      <c r="G809" s="85"/>
      <c r="H809" s="85"/>
    </row>
    <row r="810" spans="4:8" ht="15.75">
      <c r="D810" s="85"/>
      <c r="E810" s="85"/>
      <c r="F810" s="85"/>
      <c r="G810" s="85"/>
      <c r="H810" s="85"/>
    </row>
    <row r="811" spans="4:8" ht="15.75">
      <c r="D811" s="85"/>
      <c r="E811" s="85"/>
      <c r="F811" s="85"/>
      <c r="G811" s="85"/>
      <c r="H811" s="85"/>
    </row>
    <row r="812" spans="4:8" ht="15.75">
      <c r="D812" s="85"/>
      <c r="E812" s="85"/>
      <c r="F812" s="85"/>
      <c r="G812" s="85"/>
      <c r="H812" s="85"/>
    </row>
    <row r="813" spans="4:8" ht="15.75">
      <c r="D813" s="85"/>
      <c r="E813" s="85"/>
      <c r="F813" s="85"/>
      <c r="G813" s="85"/>
      <c r="H813" s="85"/>
    </row>
    <row r="814" spans="4:8" ht="15.75">
      <c r="D814" s="85"/>
      <c r="E814" s="85"/>
      <c r="F814" s="85"/>
      <c r="G814" s="85"/>
      <c r="H814" s="85"/>
    </row>
    <row r="815" spans="4:8" ht="15.75">
      <c r="D815" s="85"/>
      <c r="E815" s="85"/>
      <c r="F815" s="85"/>
      <c r="G815" s="85"/>
      <c r="H815" s="85"/>
    </row>
    <row r="816" spans="4:8" ht="15.75">
      <c r="D816" s="85"/>
      <c r="E816" s="85"/>
      <c r="F816" s="85"/>
      <c r="G816" s="85"/>
      <c r="H816" s="85"/>
    </row>
    <row r="817" spans="4:8" ht="15.75">
      <c r="D817" s="85"/>
      <c r="E817" s="85"/>
      <c r="F817" s="85"/>
      <c r="G817" s="85"/>
      <c r="H817" s="85"/>
    </row>
    <row r="818" spans="4:8" ht="15.75">
      <c r="D818" s="85"/>
      <c r="E818" s="85"/>
      <c r="F818" s="85"/>
      <c r="G818" s="85"/>
      <c r="H818" s="85"/>
    </row>
    <row r="819" spans="4:8" ht="15.75">
      <c r="D819" s="85"/>
      <c r="E819" s="85"/>
      <c r="F819" s="85"/>
      <c r="G819" s="85"/>
      <c r="H819" s="85"/>
    </row>
    <row r="820" spans="4:8" ht="15.75">
      <c r="D820" s="85"/>
      <c r="E820" s="85"/>
      <c r="F820" s="85"/>
      <c r="G820" s="85"/>
      <c r="H820" s="85"/>
    </row>
    <row r="821" spans="4:8" ht="15.75">
      <c r="D821" s="85"/>
      <c r="E821" s="85"/>
      <c r="F821" s="85"/>
      <c r="G821" s="85"/>
      <c r="H821" s="85"/>
    </row>
    <row r="822" spans="4:8" ht="15.75">
      <c r="D822" s="85"/>
      <c r="E822" s="85"/>
      <c r="F822" s="85"/>
      <c r="G822" s="85"/>
      <c r="H822" s="85"/>
    </row>
    <row r="823" spans="4:8" ht="15.75">
      <c r="D823" s="85"/>
      <c r="E823" s="85"/>
      <c r="F823" s="85"/>
      <c r="G823" s="85"/>
      <c r="H823" s="85"/>
    </row>
    <row r="824" spans="4:8" ht="15.75">
      <c r="D824" s="85"/>
      <c r="E824" s="85"/>
      <c r="F824" s="85"/>
      <c r="G824" s="85"/>
      <c r="H824" s="85"/>
    </row>
    <row r="825" spans="4:8" ht="15.75">
      <c r="D825" s="85"/>
      <c r="E825" s="85"/>
      <c r="F825" s="85"/>
      <c r="G825" s="85"/>
      <c r="H825" s="85"/>
    </row>
    <row r="826" spans="4:8" ht="15.75">
      <c r="D826" s="85"/>
      <c r="E826" s="85"/>
      <c r="F826" s="85"/>
      <c r="G826" s="85"/>
      <c r="H826" s="85"/>
    </row>
    <row r="827" spans="4:8" ht="15.75">
      <c r="D827" s="85"/>
      <c r="E827" s="85"/>
      <c r="F827" s="85"/>
      <c r="G827" s="85"/>
      <c r="H827" s="85"/>
    </row>
    <row r="828" spans="4:8" ht="15.75">
      <c r="D828" s="85"/>
      <c r="E828" s="85"/>
      <c r="F828" s="85"/>
      <c r="G828" s="85"/>
      <c r="H828" s="85"/>
    </row>
    <row r="829" spans="4:8" ht="15.75">
      <c r="D829" s="85"/>
      <c r="E829" s="85"/>
      <c r="F829" s="85"/>
      <c r="G829" s="85"/>
      <c r="H829" s="85"/>
    </row>
    <row r="830" spans="4:8" ht="15.75">
      <c r="D830" s="85"/>
      <c r="E830" s="85"/>
      <c r="F830" s="85"/>
      <c r="G830" s="85"/>
      <c r="H830" s="85"/>
    </row>
    <row r="831" spans="4:8" ht="15.75">
      <c r="D831" s="85"/>
      <c r="E831" s="85"/>
      <c r="F831" s="85"/>
      <c r="G831" s="85"/>
      <c r="H831" s="85"/>
    </row>
    <row r="832" spans="4:8" ht="15.75">
      <c r="D832" s="85"/>
      <c r="E832" s="85"/>
      <c r="F832" s="85"/>
      <c r="G832" s="85"/>
      <c r="H832" s="85"/>
    </row>
    <row r="833" spans="4:8" ht="15.75">
      <c r="D833" s="85"/>
      <c r="E833" s="85"/>
      <c r="F833" s="85"/>
      <c r="G833" s="85"/>
      <c r="H833" s="85"/>
    </row>
    <row r="834" spans="4:8" ht="15.75">
      <c r="D834" s="85"/>
      <c r="E834" s="85"/>
      <c r="F834" s="85"/>
      <c r="G834" s="85"/>
      <c r="H834" s="85"/>
    </row>
    <row r="835" spans="4:8" ht="15.75">
      <c r="D835" s="85"/>
      <c r="E835" s="85"/>
      <c r="F835" s="85"/>
      <c r="G835" s="85"/>
      <c r="H835" s="85"/>
    </row>
    <row r="836" spans="4:8" ht="15.75">
      <c r="D836" s="85"/>
      <c r="E836" s="85"/>
      <c r="F836" s="85"/>
      <c r="G836" s="85"/>
      <c r="H836" s="85"/>
    </row>
    <row r="837" spans="4:8" ht="15.75">
      <c r="D837" s="85"/>
      <c r="E837" s="85"/>
      <c r="F837" s="85"/>
      <c r="G837" s="85"/>
      <c r="H837" s="85"/>
    </row>
    <row r="838" spans="4:8" ht="15.75">
      <c r="D838" s="85"/>
      <c r="E838" s="85"/>
      <c r="F838" s="85"/>
      <c r="G838" s="85"/>
      <c r="H838" s="85"/>
    </row>
    <row r="839" spans="4:8" ht="15.75">
      <c r="D839" s="85"/>
      <c r="E839" s="85"/>
      <c r="F839" s="85"/>
      <c r="G839" s="85"/>
      <c r="H839" s="85"/>
    </row>
    <row r="840" spans="4:8" ht="15.75">
      <c r="D840" s="85"/>
      <c r="E840" s="85"/>
      <c r="F840" s="85"/>
      <c r="G840" s="85"/>
      <c r="H840" s="85"/>
    </row>
    <row r="841" spans="4:8" ht="15.75">
      <c r="D841" s="85"/>
      <c r="E841" s="85"/>
      <c r="F841" s="85"/>
      <c r="G841" s="85"/>
      <c r="H841" s="85"/>
    </row>
    <row r="842" spans="4:8" ht="15.75">
      <c r="D842" s="85"/>
      <c r="E842" s="85"/>
      <c r="F842" s="85"/>
      <c r="G842" s="85"/>
      <c r="H842" s="85"/>
    </row>
    <row r="843" spans="4:8" ht="15.75">
      <c r="D843" s="85"/>
      <c r="E843" s="85"/>
      <c r="F843" s="85"/>
      <c r="G843" s="85"/>
      <c r="H843" s="85"/>
    </row>
    <row r="844" spans="4:8" ht="15.75">
      <c r="D844" s="85"/>
      <c r="E844" s="85"/>
      <c r="F844" s="85"/>
      <c r="G844" s="85"/>
      <c r="H844" s="85"/>
    </row>
    <row r="845" spans="4:8" ht="15.75">
      <c r="D845" s="85"/>
      <c r="E845" s="85"/>
      <c r="F845" s="85"/>
      <c r="G845" s="85"/>
      <c r="H845" s="85"/>
    </row>
    <row r="846" spans="4:8" ht="15.75">
      <c r="D846" s="85"/>
      <c r="E846" s="85"/>
      <c r="F846" s="85"/>
      <c r="G846" s="85"/>
      <c r="H846" s="85"/>
    </row>
    <row r="847" spans="4:8" ht="15.75">
      <c r="D847" s="85"/>
      <c r="E847" s="85"/>
      <c r="F847" s="85"/>
      <c r="G847" s="85"/>
      <c r="H847" s="85"/>
    </row>
    <row r="848" spans="4:8" ht="15.75">
      <c r="D848" s="85"/>
      <c r="E848" s="85"/>
      <c r="F848" s="85"/>
      <c r="G848" s="85"/>
      <c r="H848" s="85"/>
    </row>
    <row r="849" spans="4:8" ht="15.75">
      <c r="D849" s="85"/>
      <c r="E849" s="85"/>
      <c r="F849" s="85"/>
      <c r="G849" s="85"/>
      <c r="H849" s="85"/>
    </row>
    <row r="850" spans="4:8" ht="15.75">
      <c r="D850" s="85"/>
      <c r="E850" s="85"/>
      <c r="F850" s="85"/>
      <c r="G850" s="85"/>
      <c r="H850" s="85"/>
    </row>
    <row r="851" spans="4:8" ht="15.75">
      <c r="D851" s="85"/>
      <c r="E851" s="85"/>
      <c r="F851" s="85"/>
      <c r="G851" s="85"/>
      <c r="H851" s="85"/>
    </row>
    <row r="852" spans="4:8" ht="15.75">
      <c r="D852" s="85"/>
      <c r="E852" s="85"/>
      <c r="F852" s="85"/>
      <c r="G852" s="85"/>
      <c r="H852" s="85"/>
    </row>
    <row r="853" spans="4:8" ht="15.75">
      <c r="D853" s="85"/>
      <c r="E853" s="85"/>
      <c r="F853" s="85"/>
      <c r="G853" s="85"/>
      <c r="H853" s="85"/>
    </row>
    <row r="854" spans="4:8" ht="15.75">
      <c r="D854" s="85"/>
      <c r="E854" s="85"/>
      <c r="F854" s="85"/>
      <c r="G854" s="85"/>
      <c r="H854" s="85"/>
    </row>
    <row r="855" spans="4:8" ht="15.75">
      <c r="D855" s="85"/>
      <c r="E855" s="85"/>
      <c r="F855" s="85"/>
      <c r="G855" s="85"/>
      <c r="H855" s="85"/>
    </row>
    <row r="856" spans="4:8" ht="15.75">
      <c r="D856" s="85"/>
      <c r="E856" s="85"/>
      <c r="F856" s="85"/>
      <c r="G856" s="85"/>
      <c r="H856" s="85"/>
    </row>
    <row r="857" spans="4:8" ht="15.75">
      <c r="D857" s="85"/>
      <c r="E857" s="85"/>
      <c r="F857" s="85"/>
      <c r="G857" s="85"/>
      <c r="H857" s="85"/>
    </row>
    <row r="858" spans="4:8" ht="15.75">
      <c r="D858" s="85"/>
      <c r="E858" s="85"/>
      <c r="F858" s="85"/>
      <c r="G858" s="85"/>
      <c r="H858" s="85"/>
    </row>
    <row r="859" spans="4:8" ht="15.75">
      <c r="D859" s="85"/>
      <c r="E859" s="85"/>
      <c r="F859" s="85"/>
      <c r="G859" s="85"/>
      <c r="H859" s="85"/>
    </row>
    <row r="860" spans="4:8" ht="15.75">
      <c r="D860" s="85"/>
      <c r="E860" s="85"/>
      <c r="F860" s="85"/>
      <c r="G860" s="85"/>
      <c r="H860" s="85"/>
    </row>
    <row r="861" spans="4:8" ht="15.75">
      <c r="D861" s="85"/>
      <c r="E861" s="85"/>
      <c r="F861" s="85"/>
      <c r="G861" s="85"/>
      <c r="H861" s="85"/>
    </row>
    <row r="862" spans="4:8" ht="15.75">
      <c r="D862" s="85"/>
      <c r="E862" s="85"/>
      <c r="F862" s="85"/>
      <c r="G862" s="85"/>
      <c r="H862" s="85"/>
    </row>
    <row r="863" spans="4:8" ht="15.75">
      <c r="D863" s="85"/>
      <c r="E863" s="85"/>
      <c r="F863" s="85"/>
      <c r="G863" s="85"/>
      <c r="H863" s="85"/>
    </row>
    <row r="864" spans="4:8" ht="15.75">
      <c r="D864" s="85"/>
      <c r="E864" s="85"/>
      <c r="F864" s="85"/>
      <c r="G864" s="85"/>
      <c r="H864" s="85"/>
    </row>
    <row r="865" spans="4:8" ht="15.75">
      <c r="D865" s="85"/>
      <c r="E865" s="85"/>
      <c r="F865" s="85"/>
      <c r="G865" s="85"/>
      <c r="H865" s="85"/>
    </row>
    <row r="866" spans="4:8" ht="15.75">
      <c r="D866" s="85"/>
      <c r="E866" s="85"/>
      <c r="F866" s="85"/>
      <c r="G866" s="85"/>
      <c r="H866" s="85"/>
    </row>
    <row r="867" spans="4:8" ht="15.75">
      <c r="D867" s="85"/>
      <c r="E867" s="85"/>
      <c r="F867" s="85"/>
      <c r="G867" s="85"/>
      <c r="H867" s="85"/>
    </row>
    <row r="868" spans="4:8" ht="15.75">
      <c r="D868" s="85"/>
      <c r="E868" s="85"/>
      <c r="F868" s="85"/>
      <c r="G868" s="85"/>
      <c r="H868" s="85"/>
    </row>
    <row r="869" spans="4:8" ht="15.75">
      <c r="D869" s="85"/>
      <c r="E869" s="85"/>
      <c r="F869" s="85"/>
      <c r="G869" s="85"/>
      <c r="H869" s="85"/>
    </row>
    <row r="870" spans="4:8" ht="15.75">
      <c r="D870" s="85"/>
      <c r="E870" s="85"/>
      <c r="F870" s="85"/>
      <c r="G870" s="85"/>
      <c r="H870" s="85"/>
    </row>
    <row r="871" spans="4:8" ht="15.75">
      <c r="D871" s="85"/>
      <c r="E871" s="85"/>
      <c r="F871" s="85"/>
      <c r="G871" s="85"/>
      <c r="H871" s="85"/>
    </row>
    <row r="872" spans="4:8" ht="15.75">
      <c r="D872" s="85"/>
      <c r="E872" s="85"/>
      <c r="F872" s="85"/>
      <c r="G872" s="85"/>
      <c r="H872" s="85"/>
    </row>
    <row r="873" spans="4:8" ht="15.75">
      <c r="D873" s="85"/>
      <c r="E873" s="85"/>
      <c r="F873" s="85"/>
      <c r="G873" s="85"/>
      <c r="H873" s="85"/>
    </row>
    <row r="874" spans="4:8" ht="15.75">
      <c r="D874" s="85"/>
      <c r="E874" s="85"/>
      <c r="F874" s="85"/>
      <c r="G874" s="85"/>
      <c r="H874" s="85"/>
    </row>
    <row r="875" spans="4:8" ht="15.75">
      <c r="D875" s="85"/>
      <c r="E875" s="85"/>
      <c r="F875" s="85"/>
      <c r="G875" s="85"/>
      <c r="H875" s="85"/>
    </row>
    <row r="876" spans="4:8" ht="15.75">
      <c r="D876" s="85"/>
      <c r="E876" s="85"/>
      <c r="F876" s="85"/>
      <c r="G876" s="85"/>
      <c r="H876" s="85"/>
    </row>
    <row r="877" spans="4:8" ht="15.75">
      <c r="D877" s="85"/>
      <c r="E877" s="85"/>
      <c r="F877" s="85"/>
      <c r="G877" s="85"/>
      <c r="H877" s="85"/>
    </row>
    <row r="878" spans="4:8" ht="15.75">
      <c r="D878" s="85"/>
      <c r="E878" s="85"/>
      <c r="F878" s="85"/>
      <c r="G878" s="85"/>
      <c r="H878" s="85"/>
    </row>
    <row r="879" spans="4:8" ht="15.75">
      <c r="D879" s="85"/>
      <c r="E879" s="85"/>
      <c r="F879" s="85"/>
      <c r="G879" s="85"/>
      <c r="H879" s="85"/>
    </row>
    <row r="880" spans="4:8" ht="15.75">
      <c r="D880" s="85"/>
      <c r="E880" s="85"/>
      <c r="F880" s="85"/>
      <c r="G880" s="85"/>
      <c r="H880" s="85"/>
    </row>
    <row r="881" spans="4:8" ht="15.75">
      <c r="D881" s="85"/>
      <c r="E881" s="85"/>
      <c r="F881" s="85"/>
      <c r="G881" s="85"/>
      <c r="H881" s="85"/>
    </row>
    <row r="882" spans="4:8" ht="15.75">
      <c r="D882" s="85"/>
      <c r="E882" s="85"/>
      <c r="F882" s="85"/>
      <c r="G882" s="85"/>
      <c r="H882" s="85"/>
    </row>
    <row r="883" spans="4:8" ht="15.75">
      <c r="D883" s="85"/>
      <c r="E883" s="85"/>
      <c r="F883" s="85"/>
      <c r="G883" s="85"/>
      <c r="H883" s="85"/>
    </row>
    <row r="884" spans="4:8" ht="15.75">
      <c r="D884" s="85"/>
      <c r="E884" s="85"/>
      <c r="F884" s="85"/>
      <c r="G884" s="85"/>
      <c r="H884" s="85"/>
    </row>
    <row r="885" spans="4:8" ht="15.75">
      <c r="D885" s="85"/>
      <c r="E885" s="85"/>
      <c r="F885" s="85"/>
      <c r="G885" s="85"/>
      <c r="H885" s="85"/>
    </row>
    <row r="886" spans="4:8" ht="15.75">
      <c r="D886" s="85"/>
      <c r="E886" s="85"/>
      <c r="F886" s="85"/>
      <c r="G886" s="85"/>
      <c r="H886" s="85"/>
    </row>
    <row r="887" spans="4:8" ht="15.75">
      <c r="D887" s="85"/>
      <c r="E887" s="85"/>
      <c r="F887" s="85"/>
      <c r="G887" s="85"/>
      <c r="H887" s="85"/>
    </row>
    <row r="888" spans="4:8" ht="15.75">
      <c r="D888" s="85"/>
      <c r="E888" s="85"/>
      <c r="F888" s="85"/>
      <c r="G888" s="85"/>
      <c r="H888" s="85"/>
    </row>
    <row r="889" spans="4:8" ht="15.75">
      <c r="D889" s="85"/>
      <c r="E889" s="85"/>
      <c r="F889" s="85"/>
      <c r="G889" s="85"/>
      <c r="H889" s="85"/>
    </row>
    <row r="890" spans="4:8" ht="15.75">
      <c r="D890" s="85"/>
      <c r="E890" s="85"/>
      <c r="F890" s="85"/>
      <c r="G890" s="85"/>
      <c r="H890" s="85"/>
    </row>
    <row r="891" spans="4:8" ht="15.75">
      <c r="D891" s="85"/>
      <c r="E891" s="85"/>
      <c r="F891" s="85"/>
      <c r="G891" s="85"/>
      <c r="H891" s="85"/>
    </row>
    <row r="892" spans="4:8" ht="15.75">
      <c r="D892" s="85"/>
      <c r="E892" s="85"/>
      <c r="F892" s="85"/>
      <c r="G892" s="85"/>
      <c r="H892" s="85"/>
    </row>
    <row r="893" spans="4:8" ht="15.75">
      <c r="D893" s="85"/>
      <c r="E893" s="85"/>
      <c r="F893" s="85"/>
      <c r="G893" s="85"/>
      <c r="H893" s="85"/>
    </row>
    <row r="894" spans="4:8" ht="15.75">
      <c r="D894" s="85"/>
      <c r="E894" s="85"/>
      <c r="F894" s="85"/>
      <c r="G894" s="85"/>
      <c r="H894" s="85"/>
    </row>
    <row r="895" spans="4:8" ht="15.75">
      <c r="D895" s="85"/>
      <c r="E895" s="85"/>
      <c r="F895" s="85"/>
      <c r="G895" s="85"/>
      <c r="H895" s="85"/>
    </row>
    <row r="896" spans="4:8" ht="15.75">
      <c r="D896" s="85"/>
      <c r="E896" s="85"/>
      <c r="F896" s="85"/>
      <c r="G896" s="85"/>
      <c r="H896" s="85"/>
    </row>
    <row r="897" spans="4:8" ht="15.75">
      <c r="D897" s="85"/>
      <c r="E897" s="85"/>
      <c r="F897" s="85"/>
      <c r="G897" s="85"/>
      <c r="H897" s="85"/>
    </row>
    <row r="898" spans="4:8" ht="15.75">
      <c r="D898" s="85"/>
      <c r="E898" s="85"/>
      <c r="F898" s="85"/>
      <c r="G898" s="85"/>
      <c r="H898" s="85"/>
    </row>
    <row r="899" spans="4:8" ht="15.75">
      <c r="D899" s="85"/>
      <c r="E899" s="85"/>
      <c r="F899" s="85"/>
      <c r="G899" s="85"/>
      <c r="H899" s="85"/>
    </row>
    <row r="900" spans="4:8" ht="15.75">
      <c r="D900" s="85"/>
      <c r="E900" s="85"/>
      <c r="F900" s="85"/>
      <c r="G900" s="85"/>
      <c r="H900" s="85"/>
    </row>
    <row r="901" spans="4:8" ht="15.75">
      <c r="D901" s="85"/>
      <c r="E901" s="85"/>
      <c r="F901" s="85"/>
      <c r="G901" s="85"/>
      <c r="H901" s="85"/>
    </row>
    <row r="902" spans="4:8" ht="15.75">
      <c r="D902" s="85"/>
      <c r="E902" s="85"/>
      <c r="F902" s="85"/>
      <c r="G902" s="85"/>
      <c r="H902" s="85"/>
    </row>
    <row r="903" spans="4:8" ht="15.75">
      <c r="D903" s="85"/>
      <c r="E903" s="85"/>
      <c r="F903" s="85"/>
      <c r="G903" s="85"/>
      <c r="H903" s="85"/>
    </row>
    <row r="904" spans="4:8" ht="15.75">
      <c r="D904" s="85"/>
      <c r="E904" s="85"/>
      <c r="F904" s="85"/>
      <c r="G904" s="85"/>
      <c r="H904" s="85"/>
    </row>
    <row r="905" spans="4:8" ht="15.75">
      <c r="D905" s="85"/>
      <c r="E905" s="85"/>
      <c r="F905" s="85"/>
      <c r="G905" s="85"/>
      <c r="H905" s="85"/>
    </row>
    <row r="906" spans="4:8" ht="15.75">
      <c r="D906" s="85"/>
      <c r="E906" s="85"/>
      <c r="F906" s="85"/>
      <c r="G906" s="85"/>
      <c r="H906" s="85"/>
    </row>
    <row r="907" spans="4:8" ht="15.75">
      <c r="D907" s="85"/>
      <c r="E907" s="85"/>
      <c r="F907" s="85"/>
      <c r="G907" s="85"/>
      <c r="H907" s="85"/>
    </row>
    <row r="908" spans="4:8" ht="15.75">
      <c r="D908" s="85"/>
      <c r="E908" s="85"/>
      <c r="F908" s="85"/>
      <c r="G908" s="85"/>
      <c r="H908" s="85"/>
    </row>
    <row r="909" spans="4:8" ht="15.75">
      <c r="D909" s="85"/>
      <c r="E909" s="85"/>
      <c r="F909" s="85"/>
      <c r="G909" s="85"/>
      <c r="H909" s="85"/>
    </row>
    <row r="910" spans="4:8" ht="15.75">
      <c r="D910" s="85"/>
      <c r="E910" s="85"/>
      <c r="F910" s="85"/>
      <c r="G910" s="85"/>
      <c r="H910" s="85"/>
    </row>
    <row r="911" spans="4:8" ht="15.75">
      <c r="D911" s="85"/>
      <c r="E911" s="85"/>
      <c r="F911" s="85"/>
      <c r="G911" s="85"/>
      <c r="H911" s="85"/>
    </row>
    <row r="912" spans="4:8" ht="15.75">
      <c r="D912" s="85"/>
      <c r="E912" s="85"/>
      <c r="F912" s="85"/>
      <c r="G912" s="85"/>
      <c r="H912" s="85"/>
    </row>
    <row r="913" spans="4:8" ht="15.75">
      <c r="D913" s="85"/>
      <c r="E913" s="85"/>
      <c r="F913" s="85"/>
      <c r="G913" s="85"/>
      <c r="H913" s="85"/>
    </row>
    <row r="914" spans="4:8" ht="15.75">
      <c r="D914" s="85"/>
      <c r="E914" s="85"/>
      <c r="F914" s="85"/>
      <c r="G914" s="85"/>
      <c r="H914" s="85"/>
    </row>
    <row r="915" spans="4:8" ht="15.75">
      <c r="D915" s="85"/>
      <c r="E915" s="85"/>
      <c r="F915" s="85"/>
      <c r="G915" s="85"/>
      <c r="H915" s="85"/>
    </row>
    <row r="916" spans="4:8" ht="15.75">
      <c r="D916" s="85"/>
      <c r="E916" s="85"/>
      <c r="F916" s="85"/>
      <c r="G916" s="85"/>
      <c r="H916" s="85"/>
    </row>
    <row r="917" spans="4:8" ht="15.75">
      <c r="D917" s="85"/>
      <c r="E917" s="85"/>
      <c r="F917" s="85"/>
      <c r="G917" s="85"/>
      <c r="H917" s="85"/>
    </row>
    <row r="918" spans="4:8" ht="15.75">
      <c r="D918" s="85"/>
      <c r="E918" s="85"/>
      <c r="F918" s="85"/>
      <c r="G918" s="85"/>
      <c r="H918" s="85"/>
    </row>
    <row r="919" spans="4:8" ht="15.75">
      <c r="D919" s="85"/>
      <c r="E919" s="85"/>
      <c r="F919" s="85"/>
      <c r="G919" s="85"/>
      <c r="H919" s="85"/>
    </row>
    <row r="920" spans="4:8" ht="15.75">
      <c r="D920" s="85"/>
      <c r="E920" s="85"/>
      <c r="F920" s="85"/>
      <c r="G920" s="85"/>
      <c r="H920" s="85"/>
    </row>
    <row r="921" spans="4:8" ht="15.75">
      <c r="D921" s="85"/>
      <c r="E921" s="85"/>
      <c r="F921" s="85"/>
      <c r="G921" s="85"/>
      <c r="H921" s="85"/>
    </row>
    <row r="922" spans="4:8" ht="15.75">
      <c r="D922" s="85"/>
      <c r="E922" s="85"/>
      <c r="F922" s="85"/>
      <c r="G922" s="85"/>
      <c r="H922" s="85"/>
    </row>
    <row r="923" spans="4:8" ht="15.75">
      <c r="D923" s="85"/>
      <c r="E923" s="85"/>
      <c r="F923" s="85"/>
      <c r="G923" s="85"/>
      <c r="H923" s="85"/>
    </row>
    <row r="924" spans="4:8" ht="15.75">
      <c r="D924" s="85"/>
      <c r="E924" s="85"/>
      <c r="F924" s="85"/>
      <c r="G924" s="85"/>
      <c r="H924" s="85"/>
    </row>
    <row r="925" spans="4:8" ht="15.75">
      <c r="D925" s="85"/>
      <c r="E925" s="85"/>
      <c r="F925" s="85"/>
      <c r="G925" s="85"/>
      <c r="H925" s="85"/>
    </row>
    <row r="926" spans="4:8" ht="15.75">
      <c r="D926" s="85"/>
      <c r="E926" s="85"/>
      <c r="F926" s="85"/>
      <c r="G926" s="85"/>
      <c r="H926" s="85"/>
    </row>
    <row r="927" spans="4:8" ht="15.75">
      <c r="D927" s="85"/>
      <c r="E927" s="85"/>
      <c r="F927" s="85"/>
      <c r="G927" s="85"/>
      <c r="H927" s="85"/>
    </row>
    <row r="928" spans="4:8" ht="15.75">
      <c r="D928" s="85"/>
      <c r="E928" s="85"/>
      <c r="F928" s="85"/>
      <c r="G928" s="85"/>
      <c r="H928" s="85"/>
    </row>
    <row r="929" spans="4:8" ht="15.75">
      <c r="D929" s="85"/>
      <c r="E929" s="85"/>
      <c r="F929" s="85"/>
      <c r="G929" s="85"/>
      <c r="H929" s="85"/>
    </row>
    <row r="930" spans="4:8" ht="15.75">
      <c r="D930" s="85"/>
      <c r="E930" s="85"/>
      <c r="F930" s="85"/>
      <c r="G930" s="85"/>
      <c r="H930" s="85"/>
    </row>
    <row r="931" spans="4:8" ht="15.75">
      <c r="D931" s="85"/>
      <c r="E931" s="85"/>
      <c r="F931" s="85"/>
      <c r="G931" s="85"/>
      <c r="H931" s="85"/>
    </row>
    <row r="932" spans="4:8" ht="15.75">
      <c r="D932" s="85"/>
      <c r="E932" s="85"/>
      <c r="F932" s="85"/>
      <c r="G932" s="85"/>
      <c r="H932" s="85"/>
    </row>
    <row r="933" spans="4:8" ht="15.75">
      <c r="D933" s="85"/>
      <c r="E933" s="85"/>
      <c r="F933" s="85"/>
      <c r="G933" s="85"/>
      <c r="H933" s="85"/>
    </row>
    <row r="934" spans="4:8" ht="15.75">
      <c r="D934" s="85"/>
      <c r="E934" s="85"/>
      <c r="F934" s="85"/>
      <c r="G934" s="85"/>
      <c r="H934" s="85"/>
    </row>
    <row r="935" spans="4:8" ht="15.75">
      <c r="D935" s="85"/>
      <c r="E935" s="85"/>
      <c r="F935" s="85"/>
      <c r="G935" s="85"/>
      <c r="H935" s="85"/>
    </row>
    <row r="936" spans="4:8" ht="15.75">
      <c r="D936" s="85"/>
      <c r="E936" s="85"/>
      <c r="F936" s="85"/>
      <c r="G936" s="85"/>
      <c r="H936" s="85"/>
    </row>
    <row r="937" spans="4:8" ht="15.75">
      <c r="D937" s="85"/>
      <c r="E937" s="85"/>
      <c r="F937" s="85"/>
      <c r="G937" s="85"/>
      <c r="H937" s="85"/>
    </row>
    <row r="938" spans="4:8" ht="15.75">
      <c r="D938" s="85"/>
      <c r="E938" s="85"/>
      <c r="F938" s="85"/>
      <c r="G938" s="85"/>
      <c r="H938" s="85"/>
    </row>
    <row r="939" spans="4:8" ht="15.75">
      <c r="D939" s="85"/>
      <c r="E939" s="85"/>
      <c r="F939" s="85"/>
      <c r="G939" s="85"/>
      <c r="H939" s="85"/>
    </row>
    <row r="940" spans="4:8" ht="15.75">
      <c r="D940" s="85"/>
      <c r="E940" s="85"/>
      <c r="F940" s="85"/>
      <c r="G940" s="85"/>
      <c r="H940" s="85"/>
    </row>
    <row r="941" spans="4:8" ht="15.75">
      <c r="D941" s="85"/>
      <c r="E941" s="85"/>
      <c r="F941" s="85"/>
      <c r="G941" s="85"/>
      <c r="H941" s="85"/>
    </row>
    <row r="942" spans="4:8" ht="15.75">
      <c r="D942" s="85"/>
      <c r="E942" s="85"/>
      <c r="F942" s="85"/>
      <c r="G942" s="85"/>
      <c r="H942" s="85"/>
    </row>
    <row r="943" spans="4:8" ht="15.75">
      <c r="D943" s="85"/>
      <c r="E943" s="85"/>
      <c r="F943" s="85"/>
      <c r="G943" s="85"/>
      <c r="H943" s="85"/>
    </row>
    <row r="944" spans="4:8" ht="15.75">
      <c r="D944" s="85"/>
      <c r="E944" s="85"/>
      <c r="F944" s="85"/>
      <c r="G944" s="85"/>
      <c r="H944" s="85"/>
    </row>
    <row r="945" spans="4:8" ht="15.75">
      <c r="D945" s="85"/>
      <c r="E945" s="85"/>
      <c r="F945" s="85"/>
      <c r="G945" s="85"/>
      <c r="H945" s="85"/>
    </row>
    <row r="946" spans="4:8" ht="15.75">
      <c r="D946" s="85"/>
      <c r="E946" s="85"/>
      <c r="F946" s="85"/>
      <c r="G946" s="85"/>
      <c r="H946" s="85"/>
    </row>
    <row r="947" spans="4:8" ht="15.75">
      <c r="D947" s="85"/>
      <c r="E947" s="85"/>
      <c r="F947" s="85"/>
      <c r="G947" s="85"/>
      <c r="H947" s="85"/>
    </row>
    <row r="948" spans="4:8" ht="15.75">
      <c r="D948" s="85"/>
      <c r="E948" s="85"/>
      <c r="F948" s="85"/>
      <c r="G948" s="85"/>
      <c r="H948" s="85"/>
    </row>
    <row r="949" spans="4:8" ht="15.75">
      <c r="D949" s="85"/>
      <c r="E949" s="85"/>
      <c r="F949" s="85"/>
      <c r="G949" s="85"/>
      <c r="H949" s="85"/>
    </row>
    <row r="950" spans="4:8" ht="15.75">
      <c r="D950" s="85"/>
      <c r="E950" s="85"/>
      <c r="F950" s="85"/>
      <c r="G950" s="85"/>
      <c r="H950" s="85"/>
    </row>
    <row r="951" spans="4:8" ht="15.75">
      <c r="D951" s="85"/>
      <c r="E951" s="85"/>
      <c r="F951" s="85"/>
      <c r="G951" s="85"/>
      <c r="H951" s="85"/>
    </row>
    <row r="952" spans="4:8" ht="15.75">
      <c r="D952" s="85"/>
      <c r="E952" s="85"/>
      <c r="F952" s="85"/>
      <c r="G952" s="85"/>
      <c r="H952" s="85"/>
    </row>
    <row r="953" spans="4:8" ht="15.75">
      <c r="D953" s="85"/>
      <c r="E953" s="85"/>
      <c r="F953" s="85"/>
      <c r="G953" s="85"/>
      <c r="H953" s="85"/>
    </row>
    <row r="954" spans="4:8" ht="15.75">
      <c r="D954" s="85"/>
      <c r="E954" s="85"/>
      <c r="F954" s="85"/>
      <c r="G954" s="85"/>
      <c r="H954" s="85"/>
    </row>
    <row r="955" spans="4:8" ht="15.75">
      <c r="D955" s="85"/>
      <c r="E955" s="85"/>
      <c r="F955" s="85"/>
      <c r="G955" s="85"/>
      <c r="H955" s="85"/>
    </row>
    <row r="956" spans="4:8" ht="15.75">
      <c r="D956" s="85"/>
      <c r="E956" s="85"/>
      <c r="F956" s="85"/>
      <c r="G956" s="85"/>
      <c r="H956" s="85"/>
    </row>
    <row r="957" spans="4:8" ht="15.75">
      <c r="D957" s="85"/>
      <c r="E957" s="85"/>
      <c r="F957" s="85"/>
      <c r="G957" s="85"/>
      <c r="H957" s="85"/>
    </row>
    <row r="958" spans="4:8" ht="15.75">
      <c r="D958" s="85"/>
      <c r="E958" s="85"/>
      <c r="F958" s="85"/>
      <c r="G958" s="85"/>
      <c r="H958" s="85"/>
    </row>
    <row r="959" spans="4:8" ht="15.75">
      <c r="D959" s="85"/>
      <c r="E959" s="85"/>
      <c r="F959" s="85"/>
      <c r="G959" s="85"/>
      <c r="H959" s="85"/>
    </row>
  </sheetData>
  <mergeCells count="33">
    <mergeCell ref="D4:H4"/>
    <mergeCell ref="D5:H5"/>
    <mergeCell ref="D6:H6"/>
    <mergeCell ref="D7:H7"/>
    <mergeCell ref="D13:H13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132:G132"/>
    <mergeCell ref="D133:G133"/>
    <mergeCell ref="D30:H30"/>
    <mergeCell ref="D127:G127"/>
    <mergeCell ref="I127:T127"/>
    <mergeCell ref="D128:G128"/>
    <mergeCell ref="D129:G129"/>
    <mergeCell ref="D130:G130"/>
    <mergeCell ref="D131:G131"/>
  </mergeCells>
  <dataValidations count="13">
    <dataValidation type="list" allowBlank="1" showErrorMessage="1" sqref="D127">
      <formula1>#REF!</formula1>
    </dataValidation>
    <dataValidation type="list" allowBlank="1" showErrorMessage="1" sqref="D128">
      <formula1>#REF!</formula1>
    </dataValidation>
    <dataValidation type="list" allowBlank="1" showErrorMessage="1" sqref="D20">
      <formula1>#REF!</formula1>
    </dataValidation>
    <dataValidation type="list" allowBlank="1" showErrorMessage="1" sqref="D14">
      <formula1>#REF!</formula1>
    </dataValidation>
    <dataValidation type="list" allowBlank="1" showErrorMessage="1" sqref="D15">
      <formula1>#REF!</formula1>
    </dataValidation>
    <dataValidation type="list" allowBlank="1" showErrorMessage="1" sqref="B53 B55 B58">
      <formula1>#REF!</formula1>
    </dataValidation>
    <dataValidation type="list" allowBlank="1" showErrorMessage="1" sqref="D18">
      <formula1>#REF!</formula1>
    </dataValidation>
    <dataValidation type="list" allowBlank="1" showErrorMessage="1" sqref="B35 D129">
      <formula1>#REF!</formula1>
    </dataValidation>
    <dataValidation type="list" allowBlank="1" showErrorMessage="1" sqref="D16">
      <formula1>#REF!</formula1>
    </dataValidation>
    <dataValidation type="list" allowBlank="1" showErrorMessage="1" sqref="D22">
      <formula1>#REF!</formula1>
    </dataValidation>
    <dataValidation type="list" allowBlank="1" showErrorMessage="1" sqref="D21">
      <formula1>#REF!</formula1>
    </dataValidation>
    <dataValidation type="list" allowBlank="1" showErrorMessage="1" sqref="D131">
      <formula1>#REF!</formula1>
    </dataValidation>
    <dataValidation type="list" allowBlank="1" showErrorMessage="1" sqref="D17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9"/>
  <sheetViews>
    <sheetView workbookViewId="0"/>
  </sheetViews>
  <sheetFormatPr baseColWidth="10" defaultColWidth="14.42578125" defaultRowHeight="15" customHeight="1"/>
  <cols>
    <col min="1" max="1" width="7" customWidth="1"/>
    <col min="2" max="2" width="17.85546875" customWidth="1"/>
    <col min="3" max="3" width="51.28515625" customWidth="1"/>
    <col min="4" max="4" width="25.140625" customWidth="1"/>
    <col min="5" max="5" width="26.85546875" customWidth="1"/>
    <col min="6" max="6" width="22.5703125" customWidth="1"/>
    <col min="7" max="7" width="21.7109375" customWidth="1"/>
    <col min="8" max="8" width="21.140625" customWidth="1"/>
    <col min="9" max="9" width="29" customWidth="1"/>
    <col min="10" max="10" width="25.5703125" customWidth="1"/>
    <col min="11" max="11" width="29.85546875" customWidth="1"/>
    <col min="12" max="12" width="20.85546875" customWidth="1"/>
    <col min="13" max="13" width="21.28515625" customWidth="1"/>
    <col min="14" max="14" width="19.5703125" customWidth="1"/>
    <col min="15" max="15" width="19.42578125" customWidth="1"/>
    <col min="16" max="16" width="18.5703125" customWidth="1"/>
    <col min="17" max="17" width="23" customWidth="1"/>
    <col min="18" max="18" width="18.85546875" customWidth="1"/>
  </cols>
  <sheetData>
    <row r="1" spans="1:18" ht="15.75">
      <c r="A1" s="49"/>
      <c r="B1" s="50"/>
      <c r="C1" s="50"/>
      <c r="D1" s="51"/>
      <c r="E1" s="51"/>
      <c r="F1" s="51"/>
      <c r="G1" s="51"/>
      <c r="H1" s="51"/>
      <c r="I1" s="50"/>
      <c r="J1" s="52"/>
      <c r="K1" s="52"/>
      <c r="L1" s="50"/>
      <c r="M1" s="50"/>
      <c r="N1" s="52"/>
      <c r="O1" s="52"/>
      <c r="P1" s="52"/>
      <c r="Q1" s="50"/>
      <c r="R1" s="50"/>
    </row>
    <row r="2" spans="1:18" ht="15.75">
      <c r="A2" s="49"/>
      <c r="B2" s="50"/>
      <c r="C2" s="50"/>
      <c r="D2" s="51"/>
      <c r="E2" s="51"/>
      <c r="F2" s="51"/>
      <c r="G2" s="51"/>
      <c r="H2" s="51"/>
      <c r="I2" s="50"/>
      <c r="J2" s="52"/>
      <c r="K2" s="52"/>
      <c r="L2" s="50"/>
      <c r="M2" s="50"/>
      <c r="N2" s="52"/>
      <c r="O2" s="52"/>
      <c r="P2" s="52"/>
      <c r="Q2" s="50"/>
      <c r="R2" s="50"/>
    </row>
    <row r="3" spans="1:18" ht="15.75">
      <c r="A3" s="49"/>
      <c r="B3" s="50"/>
      <c r="C3" s="50"/>
      <c r="D3" s="51"/>
      <c r="E3" s="51"/>
      <c r="F3" s="51"/>
      <c r="G3" s="51"/>
      <c r="H3" s="51"/>
      <c r="I3" s="50"/>
      <c r="J3" s="52"/>
      <c r="K3" s="52"/>
      <c r="L3" s="50"/>
      <c r="M3" s="50"/>
      <c r="N3" s="52"/>
      <c r="O3" s="52"/>
      <c r="P3" s="52"/>
      <c r="Q3" s="50"/>
      <c r="R3" s="50"/>
    </row>
    <row r="4" spans="1:18" ht="15.75">
      <c r="A4" s="49"/>
      <c r="B4" s="50"/>
      <c r="C4" s="50"/>
      <c r="D4" s="165" t="s">
        <v>0</v>
      </c>
      <c r="E4" s="166"/>
      <c r="F4" s="166"/>
      <c r="G4" s="166"/>
      <c r="H4" s="166"/>
      <c r="I4" s="50"/>
      <c r="J4" s="52"/>
      <c r="K4" s="52"/>
      <c r="L4" s="50"/>
      <c r="M4" s="50"/>
      <c r="N4" s="52"/>
      <c r="O4" s="52"/>
      <c r="P4" s="52"/>
      <c r="Q4" s="50"/>
      <c r="R4" s="50"/>
    </row>
    <row r="5" spans="1:18" ht="15.75">
      <c r="A5" s="49"/>
      <c r="B5" s="50"/>
      <c r="C5" s="50"/>
      <c r="D5" s="165" t="s">
        <v>1</v>
      </c>
      <c r="E5" s="166"/>
      <c r="F5" s="166"/>
      <c r="G5" s="166"/>
      <c r="H5" s="166"/>
      <c r="I5" s="50"/>
      <c r="J5" s="52"/>
      <c r="K5" s="52"/>
      <c r="L5" s="50"/>
      <c r="M5" s="50"/>
      <c r="N5" s="52"/>
      <c r="O5" s="52"/>
      <c r="P5" s="52"/>
      <c r="Q5" s="50"/>
      <c r="R5" s="50"/>
    </row>
    <row r="6" spans="1:18" ht="15.75">
      <c r="A6" s="49"/>
      <c r="B6" s="50"/>
      <c r="C6" s="50"/>
      <c r="D6" s="165" t="s">
        <v>2</v>
      </c>
      <c r="E6" s="166"/>
      <c r="F6" s="166"/>
      <c r="G6" s="166"/>
      <c r="H6" s="166"/>
      <c r="I6" s="50"/>
      <c r="J6" s="52"/>
      <c r="K6" s="52"/>
      <c r="L6" s="50"/>
      <c r="M6" s="50"/>
      <c r="N6" s="52"/>
      <c r="O6" s="52"/>
      <c r="P6" s="52"/>
      <c r="Q6" s="50"/>
      <c r="R6" s="50"/>
    </row>
    <row r="7" spans="1:18" ht="15.75">
      <c r="A7" s="49"/>
      <c r="B7" s="50"/>
      <c r="C7" s="50"/>
      <c r="D7" s="165"/>
      <c r="E7" s="166"/>
      <c r="F7" s="166"/>
      <c r="G7" s="166"/>
      <c r="H7" s="166"/>
      <c r="I7" s="50"/>
      <c r="J7" s="52"/>
      <c r="K7" s="52"/>
      <c r="L7" s="50"/>
      <c r="M7" s="50"/>
      <c r="N7" s="52"/>
      <c r="O7" s="52"/>
      <c r="P7" s="52"/>
      <c r="Q7" s="50"/>
      <c r="R7" s="50"/>
    </row>
    <row r="8" spans="1:18" ht="15.75">
      <c r="A8" s="49"/>
      <c r="B8" s="50"/>
      <c r="C8" s="50"/>
      <c r="D8" s="53"/>
      <c r="E8" s="53"/>
      <c r="F8" s="53"/>
      <c r="G8" s="53"/>
      <c r="H8" s="53"/>
      <c r="I8" s="50"/>
      <c r="J8" s="52"/>
      <c r="K8" s="52"/>
      <c r="L8" s="50"/>
      <c r="M8" s="50"/>
      <c r="N8" s="52"/>
      <c r="O8" s="52"/>
      <c r="P8" s="52"/>
      <c r="Q8" s="50"/>
      <c r="R8" s="50"/>
    </row>
    <row r="9" spans="1:18" ht="15.75">
      <c r="A9" s="49"/>
      <c r="B9" s="50"/>
      <c r="C9" s="50"/>
      <c r="D9" s="51"/>
      <c r="E9" s="51"/>
      <c r="F9" s="51"/>
      <c r="G9" s="51"/>
      <c r="H9" s="51"/>
      <c r="I9" s="50"/>
      <c r="J9" s="52"/>
      <c r="K9" s="52"/>
      <c r="L9" s="50"/>
      <c r="M9" s="50"/>
      <c r="N9" s="52"/>
      <c r="O9" s="52"/>
      <c r="P9" s="52"/>
      <c r="Q9" s="50"/>
      <c r="R9" s="50"/>
    </row>
    <row r="10" spans="1:18" ht="15.75">
      <c r="A10" s="49"/>
      <c r="B10" s="50"/>
      <c r="C10" s="50"/>
      <c r="D10" s="51"/>
      <c r="E10" s="51"/>
      <c r="F10" s="51"/>
      <c r="G10" s="51"/>
      <c r="H10" s="51"/>
      <c r="I10" s="50"/>
      <c r="J10" s="52"/>
      <c r="K10" s="52"/>
      <c r="L10" s="50"/>
      <c r="M10" s="50"/>
      <c r="N10" s="52"/>
      <c r="O10" s="52"/>
      <c r="P10" s="52"/>
      <c r="Q10" s="50"/>
      <c r="R10" s="50"/>
    </row>
    <row r="11" spans="1:18" ht="15.75">
      <c r="A11" s="49"/>
      <c r="B11" s="50"/>
      <c r="C11" s="50"/>
      <c r="D11" s="51"/>
      <c r="E11" s="51"/>
      <c r="F11" s="51"/>
      <c r="G11" s="51"/>
      <c r="H11" s="51"/>
      <c r="I11" s="50"/>
      <c r="J11" s="52"/>
      <c r="K11" s="52"/>
      <c r="L11" s="50"/>
      <c r="M11" s="50"/>
      <c r="N11" s="52"/>
      <c r="O11" s="52"/>
      <c r="P11" s="52"/>
      <c r="Q11" s="50"/>
      <c r="R11" s="50"/>
    </row>
    <row r="12" spans="1:18" ht="15.75">
      <c r="A12" s="54"/>
      <c r="B12" s="55"/>
      <c r="C12" s="55"/>
      <c r="D12" s="55"/>
      <c r="E12" s="55"/>
      <c r="F12" s="55"/>
      <c r="G12" s="55"/>
      <c r="H12" s="55"/>
      <c r="I12" s="55"/>
      <c r="J12" s="56"/>
      <c r="K12" s="56"/>
      <c r="L12" s="55"/>
      <c r="M12" s="55"/>
      <c r="N12" s="56"/>
      <c r="O12" s="56"/>
      <c r="P12" s="56"/>
      <c r="Q12" s="55"/>
      <c r="R12" s="55"/>
    </row>
    <row r="13" spans="1:18" ht="15.75">
      <c r="A13" s="54"/>
      <c r="B13" s="55"/>
      <c r="C13" s="2" t="s">
        <v>3</v>
      </c>
      <c r="D13" s="167" t="s">
        <v>4</v>
      </c>
      <c r="E13" s="157"/>
      <c r="F13" s="157"/>
      <c r="G13" s="157"/>
      <c r="H13" s="158"/>
      <c r="I13" s="1"/>
      <c r="J13" s="56"/>
      <c r="K13" s="56"/>
      <c r="L13" s="55"/>
      <c r="M13" s="55"/>
      <c r="N13" s="56"/>
      <c r="O13" s="56"/>
      <c r="P13" s="56"/>
      <c r="Q13" s="55"/>
      <c r="R13" s="55"/>
    </row>
    <row r="14" spans="1:18" ht="15.75">
      <c r="A14" s="54"/>
      <c r="B14" s="55"/>
      <c r="C14" s="2" t="s">
        <v>5</v>
      </c>
      <c r="D14" s="156" t="s">
        <v>6</v>
      </c>
      <c r="E14" s="157"/>
      <c r="F14" s="157"/>
      <c r="G14" s="157"/>
      <c r="H14" s="158"/>
      <c r="I14" s="57" t="s">
        <v>7</v>
      </c>
      <c r="J14" s="56"/>
      <c r="K14" s="56"/>
      <c r="L14" s="55"/>
      <c r="M14" s="55"/>
      <c r="N14" s="56"/>
      <c r="O14" s="56"/>
      <c r="P14" s="56"/>
      <c r="Q14" s="55"/>
      <c r="R14" s="55"/>
    </row>
    <row r="15" spans="1:18" ht="15.75">
      <c r="A15" s="54"/>
      <c r="B15" s="55"/>
      <c r="C15" s="2" t="s">
        <v>8</v>
      </c>
      <c r="D15" s="156" t="s">
        <v>9</v>
      </c>
      <c r="E15" s="157"/>
      <c r="F15" s="157"/>
      <c r="G15" s="157"/>
      <c r="H15" s="158"/>
      <c r="I15" s="57" t="s">
        <v>7</v>
      </c>
      <c r="J15" s="56"/>
      <c r="K15" s="56"/>
      <c r="L15" s="55"/>
      <c r="M15" s="55"/>
      <c r="N15" s="56"/>
      <c r="O15" s="56"/>
      <c r="P15" s="56"/>
      <c r="Q15" s="55"/>
      <c r="R15" s="55"/>
    </row>
    <row r="16" spans="1:18" ht="60">
      <c r="A16" s="54"/>
      <c r="B16" s="55"/>
      <c r="C16" s="2" t="s">
        <v>10</v>
      </c>
      <c r="D16" s="156" t="s">
        <v>11</v>
      </c>
      <c r="E16" s="157"/>
      <c r="F16" s="157"/>
      <c r="G16" s="157"/>
      <c r="H16" s="158"/>
      <c r="I16" s="3" t="s">
        <v>12</v>
      </c>
      <c r="J16" s="56"/>
      <c r="K16" s="56"/>
      <c r="L16" s="55"/>
      <c r="M16" s="55"/>
      <c r="N16" s="56"/>
      <c r="O16" s="56"/>
      <c r="P16" s="56"/>
      <c r="Q16" s="55"/>
      <c r="R16" s="55"/>
    </row>
    <row r="17" spans="1:18" ht="15.75">
      <c r="A17" s="54"/>
      <c r="B17" s="55"/>
      <c r="C17" s="2" t="s">
        <v>13</v>
      </c>
      <c r="D17" s="156" t="s">
        <v>14</v>
      </c>
      <c r="E17" s="157"/>
      <c r="F17" s="157"/>
      <c r="G17" s="157"/>
      <c r="H17" s="158"/>
      <c r="I17" s="57" t="s">
        <v>7</v>
      </c>
      <c r="J17" s="56"/>
      <c r="K17" s="56"/>
      <c r="L17" s="55"/>
      <c r="M17" s="55"/>
      <c r="N17" s="56"/>
      <c r="O17" s="56"/>
      <c r="P17" s="56"/>
      <c r="Q17" s="55"/>
      <c r="R17" s="55"/>
    </row>
    <row r="18" spans="1:18" ht="15.75">
      <c r="A18" s="58"/>
      <c r="B18" s="58"/>
      <c r="C18" s="2" t="s">
        <v>15</v>
      </c>
      <c r="D18" s="156" t="s">
        <v>16</v>
      </c>
      <c r="E18" s="157"/>
      <c r="F18" s="157"/>
      <c r="G18" s="157"/>
      <c r="H18" s="158"/>
      <c r="I18" s="57" t="s">
        <v>7</v>
      </c>
      <c r="J18" s="56"/>
      <c r="K18" s="56"/>
      <c r="L18" s="55"/>
      <c r="M18" s="55"/>
      <c r="N18" s="56"/>
      <c r="O18" s="56"/>
      <c r="P18" s="56"/>
      <c r="Q18" s="55"/>
      <c r="R18" s="55"/>
    </row>
    <row r="19" spans="1:18" ht="15.75" hidden="1">
      <c r="A19" s="59"/>
      <c r="B19" s="60"/>
      <c r="C19" s="2" t="s">
        <v>17</v>
      </c>
      <c r="D19" s="156"/>
      <c r="E19" s="157"/>
      <c r="F19" s="157"/>
      <c r="G19" s="157"/>
      <c r="H19" s="158"/>
      <c r="I19" s="1"/>
      <c r="J19" s="56"/>
      <c r="K19" s="56"/>
      <c r="L19" s="55"/>
      <c r="M19" s="55"/>
      <c r="N19" s="56"/>
      <c r="O19" s="56"/>
      <c r="P19" s="56"/>
      <c r="Q19" s="55"/>
      <c r="R19" s="55"/>
    </row>
    <row r="20" spans="1:18" ht="15.75">
      <c r="C20" s="2" t="s">
        <v>17</v>
      </c>
      <c r="D20" s="156" t="s">
        <v>18</v>
      </c>
      <c r="E20" s="157"/>
      <c r="F20" s="157"/>
      <c r="G20" s="157"/>
      <c r="H20" s="158"/>
      <c r="I20" s="57" t="s">
        <v>7</v>
      </c>
      <c r="J20" s="56"/>
      <c r="K20" s="56"/>
      <c r="L20" s="55"/>
      <c r="M20" s="55"/>
      <c r="N20" s="56"/>
      <c r="O20" s="56"/>
      <c r="P20" s="56"/>
      <c r="Q20" s="55"/>
      <c r="R20" s="55"/>
    </row>
    <row r="21" spans="1:18" ht="15.75">
      <c r="A21" s="4"/>
      <c r="B21" s="161" t="s">
        <v>19</v>
      </c>
      <c r="C21" s="2" t="s">
        <v>20</v>
      </c>
      <c r="D21" s="156" t="s">
        <v>21</v>
      </c>
      <c r="E21" s="157"/>
      <c r="F21" s="157"/>
      <c r="G21" s="157"/>
      <c r="H21" s="158"/>
      <c r="I21" s="57" t="s">
        <v>7</v>
      </c>
      <c r="K21" s="56"/>
      <c r="L21" s="55"/>
      <c r="M21" s="55"/>
      <c r="N21" s="56"/>
      <c r="O21" s="56"/>
      <c r="P21" s="56"/>
      <c r="Q21" s="55"/>
      <c r="R21" s="55"/>
    </row>
    <row r="22" spans="1:18" ht="15.75">
      <c r="A22" s="4"/>
      <c r="B22" s="162"/>
      <c r="C22" s="2" t="s">
        <v>22</v>
      </c>
      <c r="D22" s="156" t="s">
        <v>23</v>
      </c>
      <c r="E22" s="157"/>
      <c r="F22" s="157"/>
      <c r="G22" s="157"/>
      <c r="H22" s="158"/>
      <c r="I22" s="57" t="s">
        <v>7</v>
      </c>
      <c r="J22" s="56"/>
      <c r="K22" s="56"/>
      <c r="L22" s="55"/>
      <c r="M22" s="55"/>
      <c r="N22" s="56"/>
      <c r="O22" s="56"/>
      <c r="P22" s="56"/>
      <c r="Q22" s="55"/>
      <c r="R22" s="55"/>
    </row>
    <row r="23" spans="1:18" ht="15.75">
      <c r="A23" s="5"/>
      <c r="B23" s="163" t="s">
        <v>24</v>
      </c>
      <c r="C23" s="2" t="s">
        <v>25</v>
      </c>
      <c r="D23" s="156" t="s">
        <v>26</v>
      </c>
      <c r="E23" s="157"/>
      <c r="F23" s="157"/>
      <c r="G23" s="157"/>
      <c r="H23" s="158"/>
      <c r="I23" s="57" t="s">
        <v>7</v>
      </c>
      <c r="J23" s="56"/>
      <c r="K23" s="56"/>
      <c r="L23" s="55"/>
      <c r="M23" s="55"/>
      <c r="N23" s="56"/>
      <c r="O23" s="56"/>
      <c r="P23" s="56"/>
      <c r="Q23" s="55"/>
      <c r="R23" s="55"/>
    </row>
    <row r="24" spans="1:18" ht="31.5">
      <c r="A24" s="5"/>
      <c r="B24" s="164"/>
      <c r="C24" s="2" t="s">
        <v>27</v>
      </c>
      <c r="D24" s="156" t="s">
        <v>28</v>
      </c>
      <c r="E24" s="157"/>
      <c r="F24" s="157"/>
      <c r="G24" s="157"/>
      <c r="H24" s="158"/>
      <c r="I24" s="57" t="s">
        <v>7</v>
      </c>
      <c r="J24" s="56"/>
      <c r="K24" s="56"/>
      <c r="L24" s="55"/>
      <c r="M24" s="55"/>
      <c r="N24" s="56"/>
      <c r="O24" s="56"/>
      <c r="P24" s="56"/>
      <c r="Q24" s="55"/>
      <c r="R24" s="55"/>
    </row>
    <row r="25" spans="1:18" ht="15.75">
      <c r="A25" s="5"/>
      <c r="B25" s="163" t="s">
        <v>29</v>
      </c>
      <c r="C25" s="2" t="s">
        <v>30</v>
      </c>
      <c r="D25" s="156" t="s">
        <v>31</v>
      </c>
      <c r="E25" s="157"/>
      <c r="F25" s="157"/>
      <c r="G25" s="157"/>
      <c r="H25" s="158"/>
      <c r="I25" s="57" t="s">
        <v>7</v>
      </c>
      <c r="J25" s="56"/>
      <c r="K25" s="56"/>
      <c r="L25" s="55"/>
      <c r="M25" s="55"/>
      <c r="N25" s="56"/>
      <c r="O25" s="56"/>
      <c r="P25" s="56"/>
      <c r="Q25" s="55"/>
      <c r="R25" s="55"/>
    </row>
    <row r="26" spans="1:18" ht="15.75">
      <c r="A26" s="5"/>
      <c r="B26" s="162"/>
      <c r="C26" s="2" t="s">
        <v>32</v>
      </c>
      <c r="D26" s="156" t="s">
        <v>33</v>
      </c>
      <c r="E26" s="157"/>
      <c r="F26" s="157"/>
      <c r="G26" s="157"/>
      <c r="H26" s="158"/>
      <c r="I26" s="57" t="s">
        <v>7</v>
      </c>
      <c r="J26" s="56"/>
      <c r="K26" s="56"/>
      <c r="L26" s="55"/>
      <c r="M26" s="55"/>
      <c r="N26" s="56"/>
      <c r="O26" s="56"/>
      <c r="P26" s="56"/>
      <c r="Q26" s="55"/>
      <c r="R26" s="55"/>
    </row>
    <row r="27" spans="1:18" ht="15.75">
      <c r="A27" s="5"/>
      <c r="B27" s="162"/>
      <c r="C27" s="2" t="s">
        <v>34</v>
      </c>
      <c r="D27" s="156" t="s">
        <v>35</v>
      </c>
      <c r="E27" s="157"/>
      <c r="F27" s="157"/>
      <c r="G27" s="157"/>
      <c r="H27" s="158"/>
      <c r="I27" s="57" t="s">
        <v>7</v>
      </c>
      <c r="J27" s="56"/>
      <c r="K27" s="56"/>
      <c r="L27" s="55"/>
      <c r="M27" s="55"/>
      <c r="N27" s="56"/>
      <c r="O27" s="56"/>
      <c r="P27" s="56"/>
      <c r="Q27" s="55"/>
      <c r="R27" s="55"/>
    </row>
    <row r="28" spans="1:18" ht="15.75">
      <c r="A28" s="5"/>
      <c r="B28" s="162"/>
      <c r="C28" s="2" t="s">
        <v>36</v>
      </c>
      <c r="D28" s="156" t="s">
        <v>37</v>
      </c>
      <c r="E28" s="157"/>
      <c r="F28" s="157"/>
      <c r="G28" s="157"/>
      <c r="H28" s="158"/>
      <c r="I28" s="55"/>
      <c r="J28" s="56"/>
      <c r="K28" s="56"/>
      <c r="L28" s="55"/>
      <c r="M28" s="55"/>
      <c r="N28" s="56"/>
      <c r="O28" s="61"/>
      <c r="P28" s="61"/>
      <c r="Q28" s="55"/>
      <c r="R28" s="55"/>
    </row>
    <row r="29" spans="1:18" ht="31.5">
      <c r="A29" s="58"/>
      <c r="B29" s="58"/>
      <c r="C29" s="2" t="s">
        <v>38</v>
      </c>
      <c r="D29" s="159" t="s">
        <v>39</v>
      </c>
      <c r="E29" s="157"/>
      <c r="F29" s="157"/>
      <c r="G29" s="157"/>
      <c r="H29" s="157"/>
      <c r="I29" s="55"/>
      <c r="J29" s="56"/>
      <c r="K29" s="56"/>
      <c r="L29" s="55"/>
      <c r="M29" s="55"/>
      <c r="N29" s="56"/>
      <c r="O29" s="61"/>
      <c r="P29" s="61"/>
      <c r="Q29" s="55"/>
      <c r="R29" s="55"/>
    </row>
    <row r="30" spans="1:18" ht="15.75">
      <c r="A30" s="58"/>
      <c r="B30" s="58"/>
      <c r="C30" s="6" t="s">
        <v>40</v>
      </c>
      <c r="D30" s="160"/>
      <c r="E30" s="157"/>
      <c r="F30" s="157"/>
      <c r="G30" s="157"/>
      <c r="H30" s="158"/>
      <c r="I30" s="1"/>
      <c r="J30" s="56"/>
      <c r="K30" s="56"/>
      <c r="L30" s="55"/>
      <c r="M30" s="55"/>
      <c r="N30" s="56"/>
      <c r="O30" s="56"/>
      <c r="P30" s="56"/>
      <c r="Q30" s="55"/>
      <c r="R30" s="55"/>
    </row>
    <row r="31" spans="1:18" ht="15.75">
      <c r="A31" s="54"/>
      <c r="B31" s="55"/>
      <c r="C31" s="55"/>
      <c r="D31" s="7"/>
      <c r="E31" s="7"/>
      <c r="F31" s="7"/>
      <c r="G31" s="7"/>
      <c r="H31" s="7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 ht="63">
      <c r="A32" s="62"/>
      <c r="B32" s="63" t="s">
        <v>42</v>
      </c>
      <c r="C32" s="9" t="s">
        <v>43</v>
      </c>
      <c r="D32" s="6" t="s">
        <v>44</v>
      </c>
      <c r="E32" s="6" t="s">
        <v>45</v>
      </c>
      <c r="F32" s="6" t="s">
        <v>46</v>
      </c>
      <c r="G32" s="6" t="s">
        <v>47</v>
      </c>
      <c r="H32" s="6" t="s">
        <v>48</v>
      </c>
      <c r="I32" s="6" t="s">
        <v>49</v>
      </c>
      <c r="J32" s="10" t="s">
        <v>50</v>
      </c>
      <c r="K32" s="10" t="s">
        <v>51</v>
      </c>
      <c r="L32" s="6" t="s">
        <v>52</v>
      </c>
      <c r="M32" s="6" t="s">
        <v>53</v>
      </c>
      <c r="N32" s="10" t="s">
        <v>54</v>
      </c>
      <c r="O32" s="10" t="s">
        <v>55</v>
      </c>
      <c r="P32" s="10" t="s">
        <v>56</v>
      </c>
      <c r="Q32" s="6" t="s">
        <v>57</v>
      </c>
      <c r="R32" s="6" t="s">
        <v>58</v>
      </c>
    </row>
    <row r="33" spans="1:18" ht="356.25">
      <c r="B33" s="55"/>
      <c r="C33" s="2" t="s">
        <v>74</v>
      </c>
      <c r="D33" s="11" t="s">
        <v>75</v>
      </c>
      <c r="E33" s="11" t="s">
        <v>76</v>
      </c>
      <c r="F33" s="11" t="s">
        <v>77</v>
      </c>
      <c r="G33" s="12" t="s">
        <v>78</v>
      </c>
      <c r="H33" s="12" t="s">
        <v>79</v>
      </c>
      <c r="I33" s="11" t="s">
        <v>80</v>
      </c>
      <c r="J33" s="13" t="s">
        <v>81</v>
      </c>
      <c r="K33" s="13" t="s">
        <v>82</v>
      </c>
      <c r="L33" s="12" t="s">
        <v>83</v>
      </c>
      <c r="M33" s="12" t="s">
        <v>338</v>
      </c>
      <c r="N33" s="14" t="s">
        <v>85</v>
      </c>
      <c r="O33" s="103">
        <v>44511</v>
      </c>
      <c r="P33" s="13" t="s">
        <v>363</v>
      </c>
      <c r="Q33" s="11" t="s">
        <v>86</v>
      </c>
      <c r="R33" s="11" t="s">
        <v>87</v>
      </c>
    </row>
    <row r="34" spans="1:18" ht="199.5">
      <c r="B34" s="64" t="s">
        <v>7</v>
      </c>
      <c r="C34" s="2" t="s">
        <v>88</v>
      </c>
      <c r="D34" s="11" t="s">
        <v>89</v>
      </c>
      <c r="E34" s="11" t="s">
        <v>90</v>
      </c>
      <c r="F34" s="11" t="s">
        <v>91</v>
      </c>
      <c r="G34" s="12" t="s">
        <v>92</v>
      </c>
      <c r="H34" s="12" t="s">
        <v>79</v>
      </c>
      <c r="I34" s="11" t="s">
        <v>93</v>
      </c>
      <c r="J34" s="17" t="s">
        <v>94</v>
      </c>
      <c r="K34" s="18" t="s">
        <v>95</v>
      </c>
      <c r="L34" s="12" t="s">
        <v>83</v>
      </c>
      <c r="M34" s="12" t="s">
        <v>338</v>
      </c>
      <c r="N34" s="14" t="s">
        <v>85</v>
      </c>
      <c r="O34" s="103">
        <v>1505977</v>
      </c>
      <c r="P34" s="16"/>
      <c r="Q34" s="11" t="s">
        <v>96</v>
      </c>
      <c r="R34" s="11" t="s">
        <v>97</v>
      </c>
    </row>
    <row r="35" spans="1:18" ht="185.25">
      <c r="B35" s="67" t="s">
        <v>98</v>
      </c>
      <c r="C35" s="19" t="s">
        <v>99</v>
      </c>
      <c r="D35" s="11" t="s">
        <v>100</v>
      </c>
      <c r="E35" s="11" t="s">
        <v>101</v>
      </c>
      <c r="F35" s="11" t="s">
        <v>102</v>
      </c>
      <c r="G35" s="11" t="s">
        <v>103</v>
      </c>
      <c r="H35" s="11" t="s">
        <v>79</v>
      </c>
      <c r="I35" s="11" t="s">
        <v>104</v>
      </c>
      <c r="J35" s="11" t="s">
        <v>105</v>
      </c>
      <c r="K35" s="68" t="s">
        <v>106</v>
      </c>
      <c r="L35" s="11" t="s">
        <v>107</v>
      </c>
      <c r="M35" s="11" t="s">
        <v>84</v>
      </c>
      <c r="N35" s="11" t="s">
        <v>85</v>
      </c>
      <c r="O35" s="105">
        <v>0.9</v>
      </c>
      <c r="P35" s="13" t="s">
        <v>363</v>
      </c>
      <c r="Q35" s="11" t="s">
        <v>86</v>
      </c>
      <c r="R35" s="11" t="s">
        <v>108</v>
      </c>
    </row>
    <row r="36" spans="1:18" ht="156.75">
      <c r="A36" s="69" t="s">
        <v>74</v>
      </c>
      <c r="B36" s="70"/>
      <c r="C36" s="21" t="s">
        <v>109</v>
      </c>
      <c r="D36" s="11" t="s">
        <v>110</v>
      </c>
      <c r="E36" s="22" t="s">
        <v>111</v>
      </c>
      <c r="F36" s="11" t="s">
        <v>112</v>
      </c>
      <c r="G36" s="23" t="s">
        <v>103</v>
      </c>
      <c r="H36" s="23" t="s">
        <v>113</v>
      </c>
      <c r="I36" s="22" t="s">
        <v>114</v>
      </c>
      <c r="J36" s="24" t="s">
        <v>115</v>
      </c>
      <c r="K36" s="13" t="s">
        <v>116</v>
      </c>
      <c r="L36" s="11" t="s">
        <v>107</v>
      </c>
      <c r="M36" s="25" t="s">
        <v>84</v>
      </c>
      <c r="N36" s="11">
        <v>517</v>
      </c>
      <c r="O36" s="11">
        <v>7450</v>
      </c>
      <c r="P36" s="108" t="s">
        <v>346</v>
      </c>
      <c r="Q36" s="12" t="s">
        <v>117</v>
      </c>
      <c r="R36" s="11" t="s">
        <v>118</v>
      </c>
    </row>
    <row r="37" spans="1:18" ht="142.5">
      <c r="A37" s="71" t="s">
        <v>88</v>
      </c>
      <c r="B37" s="70"/>
      <c r="C37" s="21" t="s">
        <v>119</v>
      </c>
      <c r="D37" s="11" t="s">
        <v>120</v>
      </c>
      <c r="E37" s="11" t="s">
        <v>121</v>
      </c>
      <c r="F37" s="11" t="s">
        <v>122</v>
      </c>
      <c r="G37" s="23" t="s">
        <v>103</v>
      </c>
      <c r="H37" s="23" t="s">
        <v>113</v>
      </c>
      <c r="I37" s="11" t="s">
        <v>123</v>
      </c>
      <c r="J37" s="24" t="s">
        <v>124</v>
      </c>
      <c r="K37" s="13" t="s">
        <v>125</v>
      </c>
      <c r="L37" s="11" t="s">
        <v>107</v>
      </c>
      <c r="M37" s="27" t="s">
        <v>84</v>
      </c>
      <c r="N37" s="11">
        <v>925</v>
      </c>
      <c r="O37" s="34">
        <v>640</v>
      </c>
      <c r="P37" s="108" t="s">
        <v>347</v>
      </c>
      <c r="Q37" s="11" t="s">
        <v>126</v>
      </c>
      <c r="R37" s="11" t="s">
        <v>127</v>
      </c>
    </row>
    <row r="38" spans="1:18" ht="114">
      <c r="A38" s="71" t="s">
        <v>128</v>
      </c>
      <c r="B38" s="70"/>
      <c r="C38" s="21" t="s">
        <v>129</v>
      </c>
      <c r="D38" s="11" t="s">
        <v>130</v>
      </c>
      <c r="E38" s="11" t="s">
        <v>131</v>
      </c>
      <c r="F38" s="11" t="s">
        <v>132</v>
      </c>
      <c r="G38" s="23" t="s">
        <v>103</v>
      </c>
      <c r="H38" s="23" t="s">
        <v>113</v>
      </c>
      <c r="I38" s="22" t="s">
        <v>133</v>
      </c>
      <c r="J38" s="29" t="s">
        <v>134</v>
      </c>
      <c r="K38" s="29" t="s">
        <v>135</v>
      </c>
      <c r="L38" s="11" t="s">
        <v>107</v>
      </c>
      <c r="M38" s="27" t="s">
        <v>84</v>
      </c>
      <c r="N38" s="11">
        <v>10405</v>
      </c>
      <c r="O38" s="32">
        <v>5000</v>
      </c>
      <c r="P38" s="108" t="s">
        <v>348</v>
      </c>
      <c r="Q38" s="11" t="s">
        <v>136</v>
      </c>
      <c r="R38" s="11" t="s">
        <v>137</v>
      </c>
    </row>
    <row r="39" spans="1:18" ht="199.5">
      <c r="A39" s="71" t="s">
        <v>74</v>
      </c>
      <c r="B39" s="70"/>
      <c r="C39" s="21" t="s">
        <v>138</v>
      </c>
      <c r="D39" s="11" t="s">
        <v>139</v>
      </c>
      <c r="E39" s="11" t="s">
        <v>140</v>
      </c>
      <c r="F39" s="11" t="s">
        <v>141</v>
      </c>
      <c r="G39" s="23" t="s">
        <v>103</v>
      </c>
      <c r="H39" s="23" t="s">
        <v>113</v>
      </c>
      <c r="I39" s="22" t="s">
        <v>142</v>
      </c>
      <c r="J39" s="31" t="s">
        <v>143</v>
      </c>
      <c r="K39" s="31" t="s">
        <v>144</v>
      </c>
      <c r="L39" s="11" t="s">
        <v>107</v>
      </c>
      <c r="M39" s="27" t="s">
        <v>84</v>
      </c>
      <c r="N39" s="32">
        <v>9826</v>
      </c>
      <c r="O39" s="32">
        <v>8791</v>
      </c>
      <c r="P39" s="13" t="s">
        <v>349</v>
      </c>
      <c r="Q39" s="22" t="s">
        <v>117</v>
      </c>
      <c r="R39" s="11" t="s">
        <v>145</v>
      </c>
    </row>
    <row r="40" spans="1:18" ht="114">
      <c r="A40" s="71" t="s">
        <v>88</v>
      </c>
      <c r="B40" s="70"/>
      <c r="C40" s="21" t="s">
        <v>146</v>
      </c>
      <c r="D40" s="11" t="s">
        <v>147</v>
      </c>
      <c r="E40" s="11" t="s">
        <v>148</v>
      </c>
      <c r="F40" s="11" t="s">
        <v>149</v>
      </c>
      <c r="G40" s="23" t="s">
        <v>103</v>
      </c>
      <c r="H40" s="11" t="s">
        <v>113</v>
      </c>
      <c r="I40" s="22" t="s">
        <v>150</v>
      </c>
      <c r="J40" s="29" t="s">
        <v>151</v>
      </c>
      <c r="K40" s="29" t="s">
        <v>152</v>
      </c>
      <c r="L40" s="11" t="s">
        <v>107</v>
      </c>
      <c r="M40" s="33" t="s">
        <v>84</v>
      </c>
      <c r="N40" s="34">
        <v>1378450</v>
      </c>
      <c r="O40" s="32">
        <v>1190350</v>
      </c>
      <c r="P40" s="13" t="s">
        <v>350</v>
      </c>
      <c r="Q40" s="12" t="s">
        <v>153</v>
      </c>
      <c r="R40" s="11" t="s">
        <v>154</v>
      </c>
    </row>
    <row r="41" spans="1:18" ht="128.25">
      <c r="A41" s="71" t="s">
        <v>88</v>
      </c>
      <c r="B41" s="70"/>
      <c r="C41" s="21" t="s">
        <v>155</v>
      </c>
      <c r="D41" s="11" t="s">
        <v>156</v>
      </c>
      <c r="E41" s="11" t="s">
        <v>157</v>
      </c>
      <c r="F41" s="11" t="s">
        <v>158</v>
      </c>
      <c r="G41" s="23" t="s">
        <v>103</v>
      </c>
      <c r="H41" s="11" t="s">
        <v>113</v>
      </c>
      <c r="I41" s="22" t="s">
        <v>159</v>
      </c>
      <c r="J41" s="29" t="s">
        <v>151</v>
      </c>
      <c r="K41" s="29" t="s">
        <v>160</v>
      </c>
      <c r="L41" s="11" t="s">
        <v>107</v>
      </c>
      <c r="M41" s="33" t="s">
        <v>84</v>
      </c>
      <c r="N41" s="32">
        <v>26296</v>
      </c>
      <c r="O41" s="32">
        <v>26292</v>
      </c>
      <c r="P41" s="13" t="s">
        <v>351</v>
      </c>
      <c r="Q41" s="12" t="s">
        <v>153</v>
      </c>
      <c r="R41" s="11" t="s">
        <v>161</v>
      </c>
    </row>
    <row r="42" spans="1:18" ht="156.75">
      <c r="A42" s="71" t="s">
        <v>88</v>
      </c>
      <c r="B42" s="70"/>
      <c r="C42" s="21" t="s">
        <v>162</v>
      </c>
      <c r="D42" s="11" t="s">
        <v>163</v>
      </c>
      <c r="E42" s="11" t="s">
        <v>164</v>
      </c>
      <c r="F42" s="11" t="s">
        <v>165</v>
      </c>
      <c r="G42" s="23" t="s">
        <v>103</v>
      </c>
      <c r="H42" s="11" t="s">
        <v>113</v>
      </c>
      <c r="I42" s="22" t="s">
        <v>150</v>
      </c>
      <c r="J42" s="29" t="s">
        <v>151</v>
      </c>
      <c r="K42" s="29" t="s">
        <v>152</v>
      </c>
      <c r="L42" s="11" t="s">
        <v>107</v>
      </c>
      <c r="M42" s="33" t="s">
        <v>84</v>
      </c>
      <c r="N42" s="34">
        <v>4560</v>
      </c>
      <c r="O42" s="32">
        <v>4020</v>
      </c>
      <c r="P42" s="13" t="s">
        <v>351</v>
      </c>
      <c r="Q42" s="12" t="s">
        <v>153</v>
      </c>
      <c r="R42" s="11" t="s">
        <v>166</v>
      </c>
    </row>
    <row r="43" spans="1:18" ht="114">
      <c r="A43" s="71" t="s">
        <v>128</v>
      </c>
      <c r="B43" s="70"/>
      <c r="C43" s="21" t="s">
        <v>167</v>
      </c>
      <c r="D43" s="11" t="s">
        <v>168</v>
      </c>
      <c r="E43" s="11" t="s">
        <v>169</v>
      </c>
      <c r="F43" s="11" t="s">
        <v>170</v>
      </c>
      <c r="G43" s="23" t="s">
        <v>103</v>
      </c>
      <c r="H43" s="11" t="s">
        <v>113</v>
      </c>
      <c r="I43" s="11" t="s">
        <v>171</v>
      </c>
      <c r="J43" s="29" t="s">
        <v>172</v>
      </c>
      <c r="K43" s="29" t="s">
        <v>173</v>
      </c>
      <c r="L43" s="11" t="s">
        <v>107</v>
      </c>
      <c r="M43" s="33" t="s">
        <v>84</v>
      </c>
      <c r="N43" s="34">
        <v>7997</v>
      </c>
      <c r="O43" s="32">
        <v>6000</v>
      </c>
      <c r="P43" s="13" t="s">
        <v>352</v>
      </c>
      <c r="Q43" s="11" t="s">
        <v>174</v>
      </c>
      <c r="R43" s="11" t="s">
        <v>175</v>
      </c>
    </row>
    <row r="44" spans="1:18" ht="128.25">
      <c r="A44" s="71" t="s">
        <v>74</v>
      </c>
      <c r="B44" s="70"/>
      <c r="C44" s="21" t="s">
        <v>176</v>
      </c>
      <c r="D44" s="11" t="s">
        <v>177</v>
      </c>
      <c r="E44" s="11" t="s">
        <v>178</v>
      </c>
      <c r="F44" s="11" t="s">
        <v>179</v>
      </c>
      <c r="G44" s="11" t="s">
        <v>103</v>
      </c>
      <c r="H44" s="11" t="s">
        <v>113</v>
      </c>
      <c r="I44" s="11" t="s">
        <v>180</v>
      </c>
      <c r="J44" s="11" t="s">
        <v>181</v>
      </c>
      <c r="K44" s="11">
        <v>4</v>
      </c>
      <c r="L44" s="11" t="s">
        <v>182</v>
      </c>
      <c r="M44" s="11" t="s">
        <v>183</v>
      </c>
      <c r="N44" s="11">
        <v>2676</v>
      </c>
      <c r="O44" s="11">
        <v>2550</v>
      </c>
      <c r="P44" s="11">
        <v>573</v>
      </c>
      <c r="Q44" s="11" t="s">
        <v>184</v>
      </c>
      <c r="R44" s="11" t="s">
        <v>185</v>
      </c>
    </row>
    <row r="45" spans="1:18" ht="128.25">
      <c r="A45" s="71" t="s">
        <v>88</v>
      </c>
      <c r="B45" s="70"/>
      <c r="C45" s="21" t="s">
        <v>186</v>
      </c>
      <c r="D45" s="11" t="s">
        <v>187</v>
      </c>
      <c r="E45" s="11" t="s">
        <v>188</v>
      </c>
      <c r="F45" s="11" t="s">
        <v>189</v>
      </c>
      <c r="G45" s="11" t="s">
        <v>103</v>
      </c>
      <c r="H45" s="11" t="s">
        <v>113</v>
      </c>
      <c r="I45" s="11" t="s">
        <v>190</v>
      </c>
      <c r="J45" s="11" t="s">
        <v>191</v>
      </c>
      <c r="K45" s="11" t="s">
        <v>192</v>
      </c>
      <c r="L45" s="11" t="s">
        <v>107</v>
      </c>
      <c r="M45" s="11" t="s">
        <v>84</v>
      </c>
      <c r="N45" s="11" t="s">
        <v>85</v>
      </c>
      <c r="O45" s="11">
        <v>15000</v>
      </c>
      <c r="P45" s="11" t="s">
        <v>353</v>
      </c>
      <c r="Q45" s="11" t="s">
        <v>184</v>
      </c>
      <c r="R45" s="11" t="s">
        <v>185</v>
      </c>
    </row>
    <row r="46" spans="1:18" ht="128.25">
      <c r="A46" s="71" t="s">
        <v>88</v>
      </c>
      <c r="B46" s="70"/>
      <c r="C46" s="21" t="s">
        <v>193</v>
      </c>
      <c r="D46" s="11" t="s">
        <v>194</v>
      </c>
      <c r="E46" s="11" t="s">
        <v>195</v>
      </c>
      <c r="F46" s="11" t="s">
        <v>196</v>
      </c>
      <c r="G46" s="23" t="s">
        <v>103</v>
      </c>
      <c r="H46" s="11" t="s">
        <v>113</v>
      </c>
      <c r="I46" s="22" t="s">
        <v>197</v>
      </c>
      <c r="J46" s="29" t="s">
        <v>198</v>
      </c>
      <c r="K46" s="29" t="s">
        <v>199</v>
      </c>
      <c r="L46" s="11" t="s">
        <v>107</v>
      </c>
      <c r="M46" s="33" t="s">
        <v>84</v>
      </c>
      <c r="N46" s="34">
        <v>28995</v>
      </c>
      <c r="O46" s="32">
        <v>29000</v>
      </c>
      <c r="P46" s="13" t="s">
        <v>354</v>
      </c>
      <c r="Q46" s="12" t="s">
        <v>200</v>
      </c>
      <c r="R46" s="11" t="s">
        <v>201</v>
      </c>
    </row>
    <row r="47" spans="1:18" ht="171">
      <c r="A47" s="71" t="s">
        <v>74</v>
      </c>
      <c r="B47" s="70"/>
      <c r="C47" s="21" t="s">
        <v>202</v>
      </c>
      <c r="D47" s="11" t="s">
        <v>203</v>
      </c>
      <c r="E47" s="11" t="s">
        <v>204</v>
      </c>
      <c r="F47" s="11" t="s">
        <v>205</v>
      </c>
      <c r="G47" s="23" t="s">
        <v>103</v>
      </c>
      <c r="H47" s="11" t="s">
        <v>113</v>
      </c>
      <c r="I47" s="11" t="s">
        <v>206</v>
      </c>
      <c r="J47" s="29" t="s">
        <v>207</v>
      </c>
      <c r="K47" s="29">
        <v>4</v>
      </c>
      <c r="L47" s="11" t="s">
        <v>182</v>
      </c>
      <c r="M47" s="33" t="s">
        <v>183</v>
      </c>
      <c r="N47" s="11" t="s">
        <v>85</v>
      </c>
      <c r="O47" s="34">
        <v>1500</v>
      </c>
      <c r="P47" s="13">
        <v>382.5</v>
      </c>
      <c r="Q47" s="12" t="s">
        <v>117</v>
      </c>
      <c r="R47" s="11" t="s">
        <v>208</v>
      </c>
    </row>
    <row r="48" spans="1:18" ht="171">
      <c r="A48" s="71" t="s">
        <v>88</v>
      </c>
      <c r="B48" s="70"/>
      <c r="C48" s="21" t="s">
        <v>209</v>
      </c>
      <c r="D48" s="11" t="s">
        <v>210</v>
      </c>
      <c r="E48" s="11" t="s">
        <v>211</v>
      </c>
      <c r="F48" s="11" t="s">
        <v>212</v>
      </c>
      <c r="G48" s="23" t="s">
        <v>103</v>
      </c>
      <c r="H48" s="11" t="s">
        <v>113</v>
      </c>
      <c r="I48" s="22" t="s">
        <v>213</v>
      </c>
      <c r="J48" s="29" t="s">
        <v>214</v>
      </c>
      <c r="K48" s="29" t="s">
        <v>215</v>
      </c>
      <c r="L48" s="11" t="s">
        <v>107</v>
      </c>
      <c r="M48" s="33" t="s">
        <v>84</v>
      </c>
      <c r="N48" s="34">
        <v>203457</v>
      </c>
      <c r="O48" s="34">
        <v>224400</v>
      </c>
      <c r="P48" s="13" t="s">
        <v>355</v>
      </c>
      <c r="Q48" s="12" t="s">
        <v>117</v>
      </c>
      <c r="R48" s="11" t="s">
        <v>208</v>
      </c>
    </row>
    <row r="49" spans="1:18" ht="114">
      <c r="A49" s="71" t="s">
        <v>74</v>
      </c>
      <c r="B49" s="70"/>
      <c r="C49" s="21" t="s">
        <v>216</v>
      </c>
      <c r="D49" s="35" t="s">
        <v>217</v>
      </c>
      <c r="E49" s="35" t="s">
        <v>218</v>
      </c>
      <c r="F49" s="35" t="s">
        <v>219</v>
      </c>
      <c r="G49" s="36" t="s">
        <v>103</v>
      </c>
      <c r="H49" s="35" t="s">
        <v>113</v>
      </c>
      <c r="I49" s="35" t="s">
        <v>220</v>
      </c>
      <c r="J49" s="37" t="s">
        <v>221</v>
      </c>
      <c r="K49" s="37">
        <v>4</v>
      </c>
      <c r="L49" s="11" t="s">
        <v>182</v>
      </c>
      <c r="M49" s="38" t="s">
        <v>183</v>
      </c>
      <c r="N49" s="39" t="s">
        <v>85</v>
      </c>
      <c r="O49" s="39">
        <v>4500</v>
      </c>
      <c r="P49" s="109">
        <v>1270.5</v>
      </c>
      <c r="Q49" s="11" t="s">
        <v>222</v>
      </c>
      <c r="R49" s="11" t="s">
        <v>223</v>
      </c>
    </row>
    <row r="50" spans="1:18" ht="99.75">
      <c r="A50" s="71" t="s">
        <v>88</v>
      </c>
      <c r="B50" s="70"/>
      <c r="C50" s="21" t="s">
        <v>224</v>
      </c>
      <c r="D50" s="11" t="s">
        <v>225</v>
      </c>
      <c r="E50" s="11" t="s">
        <v>226</v>
      </c>
      <c r="F50" s="11" t="s">
        <v>227</v>
      </c>
      <c r="G50" s="23" t="s">
        <v>103</v>
      </c>
      <c r="H50" s="11" t="s">
        <v>113</v>
      </c>
      <c r="I50" s="11" t="s">
        <v>228</v>
      </c>
      <c r="J50" s="29" t="s">
        <v>229</v>
      </c>
      <c r="K50" s="29">
        <v>4</v>
      </c>
      <c r="L50" s="11" t="s">
        <v>182</v>
      </c>
      <c r="M50" s="33" t="s">
        <v>183</v>
      </c>
      <c r="N50" s="16"/>
      <c r="O50" s="34">
        <v>780</v>
      </c>
      <c r="P50" s="13">
        <v>219</v>
      </c>
      <c r="Q50" s="11" t="s">
        <v>230</v>
      </c>
      <c r="R50" s="11" t="s">
        <v>231</v>
      </c>
    </row>
    <row r="51" spans="1:18" ht="99.75">
      <c r="A51" s="71" t="s">
        <v>74</v>
      </c>
      <c r="B51" s="70"/>
      <c r="C51" s="21" t="s">
        <v>232</v>
      </c>
      <c r="D51" s="11" t="s">
        <v>233</v>
      </c>
      <c r="E51" s="11" t="s">
        <v>234</v>
      </c>
      <c r="F51" s="11" t="s">
        <v>235</v>
      </c>
      <c r="G51" s="23" t="s">
        <v>103</v>
      </c>
      <c r="H51" s="11" t="s">
        <v>113</v>
      </c>
      <c r="I51" s="22" t="s">
        <v>236</v>
      </c>
      <c r="J51" s="29" t="s">
        <v>237</v>
      </c>
      <c r="K51" s="29" t="s">
        <v>238</v>
      </c>
      <c r="L51" s="11" t="s">
        <v>107</v>
      </c>
      <c r="M51" s="33" t="s">
        <v>84</v>
      </c>
      <c r="N51" s="34">
        <v>2037</v>
      </c>
      <c r="O51" s="34">
        <v>2030</v>
      </c>
      <c r="P51" s="13" t="s">
        <v>350</v>
      </c>
      <c r="Q51" s="12" t="s">
        <v>239</v>
      </c>
      <c r="R51" s="11" t="s">
        <v>240</v>
      </c>
    </row>
    <row r="52" spans="1:18" ht="99.75">
      <c r="A52" s="72" t="s">
        <v>88</v>
      </c>
      <c r="B52" s="70"/>
      <c r="C52" s="21" t="s">
        <v>241</v>
      </c>
      <c r="D52" s="11" t="s">
        <v>242</v>
      </c>
      <c r="E52" s="11" t="s">
        <v>243</v>
      </c>
      <c r="F52" s="11" t="s">
        <v>244</v>
      </c>
      <c r="G52" s="23" t="s">
        <v>103</v>
      </c>
      <c r="H52" s="11" t="s">
        <v>113</v>
      </c>
      <c r="I52" s="22" t="s">
        <v>245</v>
      </c>
      <c r="J52" s="29" t="s">
        <v>246</v>
      </c>
      <c r="K52" s="29" t="s">
        <v>247</v>
      </c>
      <c r="L52" s="11" t="s">
        <v>107</v>
      </c>
      <c r="M52" s="33" t="s">
        <v>84</v>
      </c>
      <c r="N52" s="11" t="s">
        <v>85</v>
      </c>
      <c r="O52" s="34">
        <v>1188</v>
      </c>
      <c r="P52" s="13" t="s">
        <v>351</v>
      </c>
      <c r="Q52" s="12" t="s">
        <v>248</v>
      </c>
      <c r="R52" s="11" t="s">
        <v>240</v>
      </c>
    </row>
    <row r="53" spans="1:18" ht="99.75">
      <c r="A53" s="90" t="s">
        <v>74</v>
      </c>
      <c r="B53" s="73" t="s">
        <v>98</v>
      </c>
      <c r="C53" s="42" t="s">
        <v>249</v>
      </c>
      <c r="D53" s="11" t="s">
        <v>250</v>
      </c>
      <c r="E53" s="11" t="s">
        <v>339</v>
      </c>
      <c r="F53" s="11" t="s">
        <v>112</v>
      </c>
      <c r="G53" s="11" t="s">
        <v>103</v>
      </c>
      <c r="H53" s="11" t="s">
        <v>79</v>
      </c>
      <c r="I53" s="11" t="s">
        <v>251</v>
      </c>
      <c r="J53" s="29" t="s">
        <v>252</v>
      </c>
      <c r="K53" s="29" t="s">
        <v>253</v>
      </c>
      <c r="L53" s="11" t="s">
        <v>107</v>
      </c>
      <c r="M53" s="11" t="s">
        <v>84</v>
      </c>
      <c r="N53" s="11">
        <v>4431</v>
      </c>
      <c r="O53" s="11">
        <v>5000</v>
      </c>
      <c r="P53" s="13" t="s">
        <v>356</v>
      </c>
      <c r="Q53" s="11" t="s">
        <v>254</v>
      </c>
      <c r="R53" s="11" t="s">
        <v>255</v>
      </c>
    </row>
    <row r="54" spans="1:18" ht="199.5">
      <c r="A54" s="70" t="s">
        <v>88</v>
      </c>
      <c r="B54" s="70"/>
      <c r="C54" s="43" t="s">
        <v>256</v>
      </c>
      <c r="D54" s="11" t="s">
        <v>257</v>
      </c>
      <c r="E54" s="11" t="s">
        <v>258</v>
      </c>
      <c r="F54" s="11" t="s">
        <v>259</v>
      </c>
      <c r="G54" s="11" t="s">
        <v>103</v>
      </c>
      <c r="H54" s="11" t="s">
        <v>113</v>
      </c>
      <c r="I54" s="11" t="s">
        <v>260</v>
      </c>
      <c r="J54" s="29" t="s">
        <v>261</v>
      </c>
      <c r="K54" s="29" t="s">
        <v>262</v>
      </c>
      <c r="L54" s="11" t="s">
        <v>107</v>
      </c>
      <c r="M54" s="11" t="s">
        <v>84</v>
      </c>
      <c r="N54" s="11">
        <v>17</v>
      </c>
      <c r="O54" s="11">
        <v>7</v>
      </c>
      <c r="P54" s="108" t="s">
        <v>357</v>
      </c>
      <c r="Q54" s="11" t="s">
        <v>263</v>
      </c>
      <c r="R54" s="11" t="s">
        <v>264</v>
      </c>
    </row>
    <row r="55" spans="1:18" ht="128.25">
      <c r="A55" s="90" t="s">
        <v>88</v>
      </c>
      <c r="B55" s="74" t="s">
        <v>98</v>
      </c>
      <c r="C55" s="19" t="s">
        <v>265</v>
      </c>
      <c r="D55" s="11" t="s">
        <v>266</v>
      </c>
      <c r="E55" s="11" t="s">
        <v>267</v>
      </c>
      <c r="F55" s="11" t="s">
        <v>268</v>
      </c>
      <c r="G55" s="11" t="s">
        <v>103</v>
      </c>
      <c r="H55" s="11" t="s">
        <v>79</v>
      </c>
      <c r="I55" s="11" t="s">
        <v>269</v>
      </c>
      <c r="J55" s="44" t="s">
        <v>270</v>
      </c>
      <c r="K55" s="45" t="s">
        <v>271</v>
      </c>
      <c r="L55" s="11" t="s">
        <v>107</v>
      </c>
      <c r="M55" s="11" t="s">
        <v>84</v>
      </c>
      <c r="N55" s="46" t="s">
        <v>85</v>
      </c>
      <c r="O55" s="11">
        <v>1100</v>
      </c>
      <c r="P55" s="13" t="s">
        <v>358</v>
      </c>
      <c r="Q55" s="11" t="s">
        <v>272</v>
      </c>
      <c r="R55" s="11" t="s">
        <v>273</v>
      </c>
    </row>
    <row r="56" spans="1:18" ht="156.75">
      <c r="A56" s="69" t="s">
        <v>74</v>
      </c>
      <c r="B56" s="75"/>
      <c r="C56" s="21" t="s">
        <v>274</v>
      </c>
      <c r="D56" s="11" t="s">
        <v>275</v>
      </c>
      <c r="E56" s="11" t="s">
        <v>276</v>
      </c>
      <c r="F56" s="11" t="s">
        <v>277</v>
      </c>
      <c r="G56" s="11" t="s">
        <v>103</v>
      </c>
      <c r="H56" s="11" t="s">
        <v>113</v>
      </c>
      <c r="I56" s="11" t="s">
        <v>278</v>
      </c>
      <c r="J56" s="29" t="s">
        <v>279</v>
      </c>
      <c r="K56" s="29" t="s">
        <v>280</v>
      </c>
      <c r="L56" s="11" t="s">
        <v>107</v>
      </c>
      <c r="M56" s="11" t="s">
        <v>84</v>
      </c>
      <c r="N56" s="46" t="s">
        <v>85</v>
      </c>
      <c r="O56" s="11">
        <v>700</v>
      </c>
      <c r="P56" s="13" t="s">
        <v>359</v>
      </c>
      <c r="Q56" s="11" t="s">
        <v>281</v>
      </c>
      <c r="R56" s="11" t="s">
        <v>282</v>
      </c>
    </row>
    <row r="57" spans="1:18" ht="114">
      <c r="A57" s="72" t="s">
        <v>88</v>
      </c>
      <c r="B57" s="75"/>
      <c r="C57" s="21" t="s">
        <v>283</v>
      </c>
      <c r="D57" s="11" t="s">
        <v>284</v>
      </c>
      <c r="E57" s="11" t="s">
        <v>285</v>
      </c>
      <c r="F57" s="11" t="s">
        <v>286</v>
      </c>
      <c r="G57" s="11" t="s">
        <v>103</v>
      </c>
      <c r="H57" s="11" t="s">
        <v>113</v>
      </c>
      <c r="I57" s="11" t="s">
        <v>287</v>
      </c>
      <c r="J57" s="29" t="s">
        <v>288</v>
      </c>
      <c r="K57" s="29" t="s">
        <v>289</v>
      </c>
      <c r="L57" s="11" t="s">
        <v>107</v>
      </c>
      <c r="M57" s="11" t="s">
        <v>84</v>
      </c>
      <c r="N57" s="46" t="s">
        <v>85</v>
      </c>
      <c r="O57" s="11">
        <v>400</v>
      </c>
      <c r="P57" s="110" t="s">
        <v>360</v>
      </c>
      <c r="Q57" s="11" t="s">
        <v>290</v>
      </c>
      <c r="R57" s="11" t="s">
        <v>291</v>
      </c>
    </row>
    <row r="58" spans="1:18" ht="128.25">
      <c r="B58" s="73" t="s">
        <v>292</v>
      </c>
      <c r="C58" s="19" t="s">
        <v>293</v>
      </c>
      <c r="D58" s="11" t="s">
        <v>294</v>
      </c>
      <c r="E58" s="11" t="s">
        <v>295</v>
      </c>
      <c r="F58" s="11" t="s">
        <v>296</v>
      </c>
      <c r="G58" s="11" t="s">
        <v>103</v>
      </c>
      <c r="H58" s="11" t="s">
        <v>79</v>
      </c>
      <c r="I58" s="11" t="s">
        <v>297</v>
      </c>
      <c r="J58" s="29" t="s">
        <v>298</v>
      </c>
      <c r="K58" s="29" t="s">
        <v>299</v>
      </c>
      <c r="L58" s="11" t="s">
        <v>107</v>
      </c>
      <c r="M58" s="11" t="s">
        <v>84</v>
      </c>
      <c r="N58" s="47">
        <v>12</v>
      </c>
      <c r="O58" s="11">
        <v>12</v>
      </c>
      <c r="P58" s="110" t="s">
        <v>351</v>
      </c>
      <c r="Q58" s="11" t="s">
        <v>300</v>
      </c>
      <c r="R58" s="11" t="s">
        <v>301</v>
      </c>
    </row>
    <row r="59" spans="1:18" ht="128.25">
      <c r="A59" s="70" t="s">
        <v>74</v>
      </c>
      <c r="B59" s="70"/>
      <c r="C59" s="21" t="s">
        <v>302</v>
      </c>
      <c r="D59" s="11" t="s">
        <v>303</v>
      </c>
      <c r="E59" s="11" t="s">
        <v>304</v>
      </c>
      <c r="F59" s="12" t="s">
        <v>305</v>
      </c>
      <c r="G59" s="11" t="s">
        <v>103</v>
      </c>
      <c r="H59" s="11" t="s">
        <v>113</v>
      </c>
      <c r="I59" s="11" t="s">
        <v>361</v>
      </c>
      <c r="J59" s="29" t="s">
        <v>307</v>
      </c>
      <c r="K59" s="29">
        <v>4</v>
      </c>
      <c r="L59" s="11" t="s">
        <v>182</v>
      </c>
      <c r="M59" s="11" t="s">
        <v>183</v>
      </c>
      <c r="N59" s="46" t="s">
        <v>85</v>
      </c>
      <c r="O59" s="11">
        <v>990</v>
      </c>
      <c r="P59" s="13">
        <v>60.8</v>
      </c>
      <c r="Q59" s="11" t="s">
        <v>308</v>
      </c>
      <c r="R59" s="11" t="s">
        <v>309</v>
      </c>
    </row>
    <row r="60" spans="1:18" ht="171.75">
      <c r="A60" s="70" t="s">
        <v>88</v>
      </c>
      <c r="B60" s="70"/>
      <c r="C60" s="21" t="s">
        <v>310</v>
      </c>
      <c r="D60" s="76" t="s">
        <v>311</v>
      </c>
      <c r="E60" s="77" t="s">
        <v>312</v>
      </c>
      <c r="F60" s="78" t="s">
        <v>313</v>
      </c>
      <c r="G60" s="77" t="s">
        <v>103</v>
      </c>
      <c r="H60" s="77" t="s">
        <v>113</v>
      </c>
      <c r="I60" s="78" t="s">
        <v>314</v>
      </c>
      <c r="J60" s="79" t="s">
        <v>315</v>
      </c>
      <c r="K60" s="80" t="s">
        <v>316</v>
      </c>
      <c r="L60" s="78" t="s">
        <v>107</v>
      </c>
      <c r="M60" s="78" t="s">
        <v>84</v>
      </c>
      <c r="N60" s="81" t="s">
        <v>85</v>
      </c>
      <c r="O60" s="78">
        <v>1800</v>
      </c>
      <c r="P60" s="111" t="s">
        <v>362</v>
      </c>
      <c r="Q60" s="77" t="s">
        <v>317</v>
      </c>
      <c r="R60" s="77" t="s">
        <v>309</v>
      </c>
    </row>
    <row r="61" spans="1:18" ht="15.75">
      <c r="A61" s="83"/>
      <c r="B61" s="84"/>
    </row>
    <row r="62" spans="1:18" ht="15.75">
      <c r="D62" s="85"/>
      <c r="E62" s="85"/>
      <c r="F62" s="85"/>
      <c r="G62" s="85"/>
      <c r="H62" s="85"/>
    </row>
    <row r="63" spans="1:18" ht="15.75">
      <c r="D63" s="85"/>
      <c r="E63" s="85"/>
      <c r="F63" s="85"/>
      <c r="G63" s="85"/>
      <c r="H63" s="85"/>
    </row>
    <row r="64" spans="1:18" ht="15.75">
      <c r="D64" s="85"/>
      <c r="E64" s="85"/>
      <c r="F64" s="85"/>
      <c r="G64" s="85"/>
      <c r="H64" s="85"/>
    </row>
    <row r="65" spans="4:8" ht="15.75">
      <c r="D65" s="85"/>
      <c r="E65" s="85"/>
      <c r="F65" s="85"/>
      <c r="G65" s="85"/>
      <c r="H65" s="85"/>
    </row>
    <row r="66" spans="4:8" ht="15.75">
      <c r="D66" s="85"/>
      <c r="E66" s="85"/>
      <c r="F66" s="85"/>
      <c r="G66" s="85"/>
      <c r="H66" s="85"/>
    </row>
    <row r="67" spans="4:8" ht="15.75">
      <c r="D67" s="85"/>
      <c r="E67" s="85"/>
      <c r="F67" s="85"/>
      <c r="G67" s="85"/>
      <c r="H67" s="85"/>
    </row>
    <row r="68" spans="4:8" ht="15.75">
      <c r="D68" s="85"/>
      <c r="E68" s="85"/>
      <c r="F68" s="85"/>
      <c r="G68" s="85"/>
      <c r="H68" s="85"/>
    </row>
    <row r="69" spans="4:8" ht="15.75">
      <c r="D69" s="85"/>
      <c r="E69" s="85"/>
      <c r="F69" s="85"/>
      <c r="G69" s="85"/>
      <c r="H69" s="85"/>
    </row>
    <row r="70" spans="4:8" ht="15.75">
      <c r="D70" s="85"/>
      <c r="E70" s="85"/>
      <c r="F70" s="85"/>
      <c r="G70" s="85"/>
      <c r="H70" s="85"/>
    </row>
    <row r="71" spans="4:8" ht="15.75">
      <c r="D71" s="85"/>
      <c r="E71" s="85"/>
      <c r="F71" s="85"/>
      <c r="G71" s="85"/>
      <c r="H71" s="85"/>
    </row>
    <row r="72" spans="4:8" ht="15.75">
      <c r="D72" s="85"/>
      <c r="E72" s="85"/>
      <c r="F72" s="85"/>
      <c r="G72" s="85"/>
      <c r="H72" s="85"/>
    </row>
    <row r="73" spans="4:8" ht="15.75">
      <c r="D73" s="85"/>
      <c r="E73" s="85"/>
      <c r="F73" s="85"/>
      <c r="G73" s="85"/>
      <c r="H73" s="85"/>
    </row>
    <row r="74" spans="4:8" ht="15.75">
      <c r="D74" s="85"/>
      <c r="E74" s="85"/>
      <c r="F74" s="85"/>
      <c r="G74" s="85"/>
      <c r="H74" s="85"/>
    </row>
    <row r="75" spans="4:8" ht="15.75">
      <c r="D75" s="85"/>
      <c r="E75" s="85"/>
      <c r="F75" s="85"/>
      <c r="G75" s="85"/>
      <c r="H75" s="85"/>
    </row>
    <row r="76" spans="4:8" ht="15.75">
      <c r="D76" s="85"/>
      <c r="E76" s="85"/>
      <c r="F76" s="85"/>
      <c r="G76" s="85"/>
      <c r="H76" s="85"/>
    </row>
    <row r="77" spans="4:8" ht="15.75">
      <c r="D77" s="85"/>
      <c r="E77" s="85"/>
      <c r="F77" s="85"/>
      <c r="G77" s="85"/>
      <c r="H77" s="85"/>
    </row>
    <row r="78" spans="4:8" ht="15.75">
      <c r="D78" s="85"/>
      <c r="E78" s="85"/>
      <c r="F78" s="85"/>
      <c r="G78" s="85"/>
      <c r="H78" s="85"/>
    </row>
    <row r="79" spans="4:8" ht="15.75">
      <c r="D79" s="85"/>
      <c r="E79" s="85"/>
      <c r="F79" s="85"/>
      <c r="G79" s="85"/>
      <c r="H79" s="85"/>
    </row>
    <row r="80" spans="4:8" ht="15.75">
      <c r="D80" s="85"/>
      <c r="E80" s="85"/>
      <c r="F80" s="85"/>
      <c r="G80" s="85"/>
      <c r="H80" s="85"/>
    </row>
    <row r="81" spans="4:8" ht="15.75">
      <c r="D81" s="85"/>
      <c r="E81" s="85"/>
      <c r="F81" s="85"/>
      <c r="G81" s="85"/>
      <c r="H81" s="85"/>
    </row>
    <row r="82" spans="4:8" ht="15.75">
      <c r="D82" s="85"/>
      <c r="E82" s="85"/>
      <c r="F82" s="85"/>
      <c r="G82" s="85"/>
      <c r="H82" s="85"/>
    </row>
    <row r="83" spans="4:8" ht="15.75">
      <c r="D83" s="85"/>
      <c r="E83" s="85"/>
      <c r="F83" s="85"/>
      <c r="G83" s="85"/>
      <c r="H83" s="85"/>
    </row>
    <row r="84" spans="4:8" ht="15.75">
      <c r="D84" s="85"/>
      <c r="E84" s="85"/>
      <c r="F84" s="85"/>
      <c r="G84" s="85"/>
      <c r="H84" s="85"/>
    </row>
    <row r="85" spans="4:8" ht="15.75">
      <c r="D85" s="85"/>
      <c r="E85" s="85"/>
      <c r="F85" s="85"/>
      <c r="G85" s="85"/>
      <c r="H85" s="85"/>
    </row>
    <row r="86" spans="4:8" ht="15.75">
      <c r="D86" s="85"/>
      <c r="E86" s="85"/>
      <c r="F86" s="85"/>
      <c r="G86" s="85"/>
      <c r="H86" s="85"/>
    </row>
    <row r="87" spans="4:8" ht="15.75">
      <c r="D87" s="85"/>
      <c r="E87" s="85"/>
      <c r="F87" s="85"/>
      <c r="G87" s="85"/>
      <c r="H87" s="85"/>
    </row>
    <row r="88" spans="4:8" ht="15.75">
      <c r="D88" s="85"/>
      <c r="E88" s="85"/>
      <c r="F88" s="85"/>
      <c r="G88" s="85"/>
      <c r="H88" s="85"/>
    </row>
    <row r="89" spans="4:8" ht="15.75">
      <c r="D89" s="85"/>
      <c r="E89" s="85"/>
      <c r="F89" s="85"/>
      <c r="G89" s="85"/>
      <c r="H89" s="85"/>
    </row>
    <row r="90" spans="4:8" ht="15.75">
      <c r="D90" s="85"/>
      <c r="E90" s="85"/>
      <c r="F90" s="85"/>
      <c r="G90" s="85"/>
      <c r="H90" s="85"/>
    </row>
    <row r="91" spans="4:8" ht="15.75">
      <c r="D91" s="85"/>
      <c r="E91" s="85"/>
      <c r="F91" s="85"/>
      <c r="G91" s="85"/>
      <c r="H91" s="85"/>
    </row>
    <row r="92" spans="4:8" ht="15.75">
      <c r="D92" s="85"/>
      <c r="E92" s="85"/>
      <c r="F92" s="85"/>
      <c r="G92" s="85"/>
      <c r="H92" s="85"/>
    </row>
    <row r="93" spans="4:8" ht="15.75">
      <c r="D93" s="85"/>
      <c r="E93" s="85"/>
      <c r="F93" s="85"/>
      <c r="G93" s="85"/>
      <c r="H93" s="85"/>
    </row>
    <row r="94" spans="4:8" ht="15.75">
      <c r="D94" s="85"/>
      <c r="E94" s="85"/>
      <c r="F94" s="85"/>
      <c r="G94" s="85"/>
      <c r="H94" s="85"/>
    </row>
    <row r="95" spans="4:8" ht="15.75">
      <c r="D95" s="85"/>
      <c r="E95" s="85"/>
      <c r="F95" s="85"/>
      <c r="G95" s="85"/>
      <c r="H95" s="85"/>
    </row>
    <row r="96" spans="4:8" ht="15.75">
      <c r="D96" s="85"/>
      <c r="E96" s="85"/>
      <c r="F96" s="85"/>
      <c r="G96" s="85"/>
      <c r="H96" s="85"/>
    </row>
    <row r="97" spans="4:8" ht="15.75">
      <c r="D97" s="85"/>
      <c r="E97" s="85"/>
      <c r="F97" s="85"/>
      <c r="G97" s="85"/>
      <c r="H97" s="85"/>
    </row>
    <row r="98" spans="4:8" ht="15.75">
      <c r="D98" s="85"/>
      <c r="E98" s="85"/>
      <c r="F98" s="85"/>
      <c r="G98" s="85"/>
      <c r="H98" s="85"/>
    </row>
    <row r="99" spans="4:8" ht="15.75">
      <c r="D99" s="85"/>
      <c r="E99" s="85"/>
      <c r="F99" s="85"/>
      <c r="G99" s="85"/>
      <c r="H99" s="85"/>
    </row>
    <row r="100" spans="4:8" ht="15.75">
      <c r="D100" s="85"/>
      <c r="E100" s="85"/>
      <c r="F100" s="85"/>
      <c r="G100" s="85"/>
      <c r="H100" s="85"/>
    </row>
    <row r="101" spans="4:8" ht="15.75">
      <c r="D101" s="85"/>
      <c r="E101" s="85"/>
      <c r="F101" s="85"/>
      <c r="G101" s="85"/>
      <c r="H101" s="85"/>
    </row>
    <row r="102" spans="4:8" ht="15.75">
      <c r="D102" s="85"/>
      <c r="E102" s="85"/>
      <c r="F102" s="85"/>
      <c r="G102" s="85"/>
      <c r="H102" s="85"/>
    </row>
    <row r="103" spans="4:8" ht="15.75">
      <c r="D103" s="85"/>
      <c r="E103" s="85"/>
      <c r="F103" s="85"/>
      <c r="G103" s="85"/>
      <c r="H103" s="85"/>
    </row>
    <row r="104" spans="4:8" ht="15.75">
      <c r="D104" s="85"/>
      <c r="E104" s="85"/>
      <c r="F104" s="85"/>
      <c r="G104" s="85"/>
      <c r="H104" s="85"/>
    </row>
    <row r="105" spans="4:8" ht="15.75">
      <c r="D105" s="85"/>
      <c r="E105" s="85"/>
      <c r="F105" s="85"/>
      <c r="G105" s="85"/>
      <c r="H105" s="85"/>
    </row>
    <row r="106" spans="4:8" ht="15.75">
      <c r="D106" s="85"/>
      <c r="E106" s="85"/>
      <c r="F106" s="85"/>
      <c r="G106" s="85"/>
      <c r="H106" s="85"/>
    </row>
    <row r="107" spans="4:8" ht="15.75">
      <c r="D107" s="85"/>
      <c r="E107" s="85"/>
      <c r="F107" s="85"/>
      <c r="G107" s="85"/>
      <c r="H107" s="85"/>
    </row>
    <row r="108" spans="4:8" ht="15.75">
      <c r="D108" s="85"/>
      <c r="E108" s="85"/>
      <c r="F108" s="85"/>
      <c r="G108" s="85"/>
      <c r="H108" s="85"/>
    </row>
    <row r="109" spans="4:8" ht="15.75">
      <c r="D109" s="85"/>
      <c r="E109" s="85"/>
      <c r="F109" s="85"/>
      <c r="G109" s="85"/>
      <c r="H109" s="85"/>
    </row>
    <row r="110" spans="4:8" ht="15.75">
      <c r="D110" s="85"/>
      <c r="E110" s="85"/>
      <c r="F110" s="85"/>
      <c r="G110" s="85"/>
      <c r="H110" s="85"/>
    </row>
    <row r="111" spans="4:8" ht="15.75">
      <c r="D111" s="85"/>
      <c r="E111" s="85"/>
      <c r="F111" s="85"/>
      <c r="G111" s="85"/>
      <c r="H111" s="85"/>
    </row>
    <row r="112" spans="4:8" ht="15.75">
      <c r="D112" s="85"/>
      <c r="E112" s="85"/>
      <c r="F112" s="85"/>
      <c r="G112" s="85"/>
      <c r="H112" s="85"/>
    </row>
    <row r="113" spans="3:18" ht="15.75">
      <c r="D113" s="85"/>
      <c r="E113" s="85"/>
      <c r="F113" s="85"/>
      <c r="G113" s="85"/>
      <c r="H113" s="85"/>
    </row>
    <row r="114" spans="3:18" ht="15.75">
      <c r="D114" s="85"/>
      <c r="E114" s="85"/>
      <c r="F114" s="85"/>
      <c r="G114" s="85"/>
      <c r="H114" s="85"/>
    </row>
    <row r="115" spans="3:18" ht="15.75">
      <c r="D115" s="85"/>
      <c r="E115" s="85"/>
      <c r="F115" s="85"/>
      <c r="G115" s="85"/>
      <c r="H115" s="85"/>
    </row>
    <row r="116" spans="3:18" ht="15.75">
      <c r="D116" s="85"/>
      <c r="E116" s="85"/>
      <c r="F116" s="85"/>
      <c r="G116" s="85"/>
      <c r="H116" s="85"/>
    </row>
    <row r="117" spans="3:18" ht="15.75">
      <c r="D117" s="85"/>
      <c r="E117" s="85"/>
      <c r="F117" s="85"/>
      <c r="G117" s="85"/>
      <c r="H117" s="85"/>
    </row>
    <row r="118" spans="3:18" ht="15.75">
      <c r="D118" s="85"/>
      <c r="E118" s="85"/>
      <c r="F118" s="85"/>
      <c r="G118" s="85"/>
      <c r="H118" s="85"/>
    </row>
    <row r="119" spans="3:18" ht="15.75">
      <c r="D119" s="85"/>
      <c r="E119" s="85"/>
      <c r="F119" s="85"/>
      <c r="G119" s="85"/>
      <c r="H119" s="85"/>
    </row>
    <row r="120" spans="3:18" ht="15.75">
      <c r="D120" s="85"/>
      <c r="E120" s="85"/>
      <c r="F120" s="85"/>
      <c r="G120" s="85"/>
      <c r="H120" s="85"/>
    </row>
    <row r="121" spans="3:18" ht="15.75">
      <c r="D121" s="85"/>
      <c r="E121" s="85"/>
      <c r="F121" s="85"/>
      <c r="G121" s="85"/>
      <c r="H121" s="85"/>
    </row>
    <row r="122" spans="3:18" ht="15.75">
      <c r="D122" s="85"/>
      <c r="E122" s="85"/>
      <c r="F122" s="85"/>
      <c r="G122" s="85"/>
      <c r="H122" s="85"/>
    </row>
    <row r="123" spans="3:18" ht="15.75">
      <c r="D123" s="85"/>
      <c r="E123" s="85"/>
      <c r="F123" s="85"/>
      <c r="G123" s="85"/>
      <c r="H123" s="85"/>
    </row>
    <row r="124" spans="3:18" ht="15.75">
      <c r="D124" s="85"/>
      <c r="E124" s="85"/>
      <c r="F124" s="85"/>
      <c r="G124" s="85"/>
      <c r="H124" s="85"/>
    </row>
    <row r="125" spans="3:18" ht="15.75">
      <c r="D125" s="85"/>
      <c r="E125" s="85"/>
      <c r="F125" s="85"/>
      <c r="G125" s="85"/>
      <c r="H125" s="85"/>
    </row>
    <row r="126" spans="3:18" ht="15.75">
      <c r="D126" s="85"/>
      <c r="E126" s="85"/>
      <c r="F126" s="85"/>
      <c r="G126" s="85"/>
      <c r="H126" s="85"/>
    </row>
    <row r="127" spans="3:18" ht="15.75">
      <c r="C127" s="48" t="s">
        <v>318</v>
      </c>
      <c r="D127" s="173"/>
      <c r="E127" s="174"/>
      <c r="F127" s="174"/>
      <c r="G127" s="175"/>
      <c r="H127" s="57" t="s">
        <v>7</v>
      </c>
      <c r="I127" s="168" t="s">
        <v>319</v>
      </c>
      <c r="J127" s="157"/>
      <c r="K127" s="157"/>
      <c r="L127" s="157"/>
      <c r="M127" s="157"/>
      <c r="N127" s="157"/>
      <c r="O127" s="157"/>
      <c r="P127" s="157"/>
      <c r="Q127" s="157"/>
      <c r="R127" s="158"/>
    </row>
    <row r="128" spans="3:18" ht="15.75">
      <c r="C128" s="2" t="s">
        <v>320</v>
      </c>
      <c r="D128" s="169"/>
      <c r="E128" s="157"/>
      <c r="F128" s="157"/>
      <c r="G128" s="158"/>
      <c r="H128" s="57" t="s">
        <v>7</v>
      </c>
      <c r="I128" s="86" t="s">
        <v>321</v>
      </c>
      <c r="J128" s="87" t="s">
        <v>322</v>
      </c>
      <c r="K128" s="87" t="s">
        <v>323</v>
      </c>
      <c r="L128" s="87" t="s">
        <v>324</v>
      </c>
      <c r="M128" s="87" t="s">
        <v>325</v>
      </c>
      <c r="N128" s="87" t="s">
        <v>326</v>
      </c>
      <c r="O128" s="87" t="s">
        <v>327</v>
      </c>
      <c r="P128" s="87" t="s">
        <v>328</v>
      </c>
      <c r="Q128" s="87" t="s">
        <v>329</v>
      </c>
      <c r="R128" s="87" t="s">
        <v>330</v>
      </c>
    </row>
    <row r="129" spans="3:18" ht="15.75">
      <c r="C129" s="2" t="s">
        <v>333</v>
      </c>
      <c r="D129" s="169"/>
      <c r="E129" s="157"/>
      <c r="F129" s="157"/>
      <c r="G129" s="158"/>
      <c r="H129" s="57" t="s">
        <v>7</v>
      </c>
      <c r="I129" s="88"/>
      <c r="J129" s="88"/>
      <c r="K129" s="88"/>
      <c r="L129" s="88"/>
      <c r="M129" s="88"/>
      <c r="N129" s="88"/>
      <c r="O129" s="88"/>
      <c r="P129" s="88"/>
      <c r="Q129" s="88"/>
      <c r="R129" s="88"/>
    </row>
    <row r="130" spans="3:18" ht="15.75">
      <c r="C130" s="21" t="s">
        <v>334</v>
      </c>
      <c r="D130" s="170"/>
      <c r="E130" s="157"/>
      <c r="F130" s="157"/>
      <c r="G130" s="158"/>
      <c r="H130" s="85"/>
      <c r="I130" s="89"/>
      <c r="J130" s="89"/>
      <c r="K130" s="89"/>
      <c r="L130" s="89"/>
      <c r="M130" s="89"/>
      <c r="N130" s="89"/>
      <c r="O130" s="89"/>
      <c r="P130" s="89"/>
      <c r="Q130" s="89"/>
      <c r="R130" s="89"/>
    </row>
    <row r="131" spans="3:18" ht="15.75">
      <c r="C131" s="2" t="s">
        <v>335</v>
      </c>
      <c r="D131" s="171"/>
      <c r="E131" s="157"/>
      <c r="F131" s="157"/>
      <c r="G131" s="158"/>
      <c r="H131" s="57" t="s">
        <v>7</v>
      </c>
      <c r="I131" s="89"/>
      <c r="J131" s="89"/>
      <c r="K131" s="89"/>
      <c r="L131" s="89"/>
      <c r="M131" s="89"/>
      <c r="N131" s="89"/>
      <c r="O131" s="89"/>
      <c r="P131" s="89"/>
      <c r="Q131" s="89"/>
      <c r="R131" s="89"/>
    </row>
    <row r="132" spans="3:18" ht="31.5">
      <c r="C132" s="2" t="s">
        <v>336</v>
      </c>
      <c r="D132" s="169"/>
      <c r="E132" s="157"/>
      <c r="F132" s="157"/>
      <c r="G132" s="158"/>
      <c r="H132" s="85"/>
      <c r="I132" s="89"/>
      <c r="J132" s="89"/>
      <c r="K132" s="89"/>
      <c r="L132" s="89"/>
      <c r="M132" s="89"/>
      <c r="N132" s="89"/>
      <c r="O132" s="89"/>
      <c r="P132" s="89"/>
      <c r="Q132" s="89"/>
      <c r="R132" s="89"/>
    </row>
    <row r="133" spans="3:18" ht="31.5">
      <c r="C133" s="2" t="s">
        <v>337</v>
      </c>
      <c r="D133" s="172"/>
      <c r="E133" s="157"/>
      <c r="F133" s="157"/>
      <c r="G133" s="158"/>
      <c r="H133" s="85"/>
      <c r="I133" s="89"/>
      <c r="J133" s="89"/>
      <c r="K133" s="89"/>
      <c r="L133" s="89"/>
      <c r="M133" s="89"/>
      <c r="N133" s="89"/>
      <c r="O133" s="89"/>
      <c r="P133" s="89"/>
      <c r="Q133" s="89"/>
      <c r="R133" s="89"/>
    </row>
    <row r="134" spans="3:18" ht="15.75">
      <c r="D134" s="85"/>
      <c r="E134" s="85"/>
      <c r="F134" s="85"/>
      <c r="G134" s="85"/>
      <c r="H134" s="85"/>
    </row>
    <row r="135" spans="3:18" ht="15.75">
      <c r="D135" s="85"/>
      <c r="E135" s="85"/>
      <c r="F135" s="85"/>
      <c r="G135" s="85"/>
      <c r="H135" s="85"/>
    </row>
    <row r="136" spans="3:18" ht="15.75">
      <c r="D136" s="85"/>
      <c r="E136" s="85"/>
      <c r="F136" s="85"/>
      <c r="G136" s="85"/>
      <c r="H136" s="85"/>
    </row>
    <row r="137" spans="3:18" ht="15.75">
      <c r="D137" s="85"/>
      <c r="E137" s="85"/>
      <c r="F137" s="85"/>
      <c r="G137" s="85"/>
      <c r="H137" s="85"/>
    </row>
    <row r="138" spans="3:18" ht="15.75">
      <c r="D138" s="85"/>
      <c r="E138" s="85"/>
      <c r="F138" s="85"/>
      <c r="G138" s="85"/>
      <c r="H138" s="85"/>
    </row>
    <row r="139" spans="3:18" ht="15.75">
      <c r="D139" s="85"/>
      <c r="E139" s="85"/>
      <c r="F139" s="85"/>
      <c r="G139" s="85"/>
      <c r="H139" s="85"/>
    </row>
    <row r="140" spans="3:18" ht="15.75">
      <c r="D140" s="85"/>
      <c r="E140" s="85"/>
      <c r="F140" s="85"/>
      <c r="G140" s="85"/>
      <c r="H140" s="85"/>
    </row>
    <row r="141" spans="3:18" ht="15.75">
      <c r="D141" s="85"/>
      <c r="E141" s="85"/>
      <c r="F141" s="85"/>
      <c r="G141" s="85"/>
      <c r="H141" s="85"/>
    </row>
    <row r="142" spans="3:18" ht="15.75">
      <c r="D142" s="85"/>
      <c r="E142" s="85"/>
      <c r="F142" s="85"/>
      <c r="G142" s="85"/>
      <c r="H142" s="85"/>
    </row>
    <row r="143" spans="3:18" ht="15.75">
      <c r="D143" s="85"/>
      <c r="E143" s="85"/>
      <c r="F143" s="85"/>
      <c r="G143" s="85"/>
      <c r="H143" s="85"/>
    </row>
    <row r="144" spans="3:18" ht="15.75">
      <c r="D144" s="85"/>
      <c r="E144" s="85"/>
      <c r="F144" s="85"/>
      <c r="G144" s="85"/>
      <c r="H144" s="85"/>
    </row>
    <row r="145" spans="4:8" ht="15.75">
      <c r="D145" s="85"/>
      <c r="E145" s="85"/>
      <c r="F145" s="85"/>
      <c r="G145" s="85"/>
      <c r="H145" s="85"/>
    </row>
    <row r="146" spans="4:8" ht="15.75">
      <c r="D146" s="85"/>
      <c r="E146" s="85"/>
      <c r="F146" s="85"/>
      <c r="G146" s="85"/>
      <c r="H146" s="85"/>
    </row>
    <row r="147" spans="4:8" ht="15.75">
      <c r="D147" s="85"/>
      <c r="E147" s="85"/>
      <c r="F147" s="85"/>
      <c r="G147" s="85"/>
      <c r="H147" s="85"/>
    </row>
    <row r="148" spans="4:8" ht="15.75">
      <c r="D148" s="85"/>
      <c r="E148" s="85"/>
      <c r="F148" s="85"/>
      <c r="G148" s="85"/>
      <c r="H148" s="85"/>
    </row>
    <row r="149" spans="4:8" ht="15.75">
      <c r="D149" s="85"/>
      <c r="E149" s="85"/>
      <c r="F149" s="85"/>
      <c r="G149" s="85"/>
      <c r="H149" s="85"/>
    </row>
    <row r="150" spans="4:8" ht="15.75">
      <c r="D150" s="85"/>
      <c r="E150" s="85"/>
      <c r="F150" s="85"/>
      <c r="G150" s="85"/>
      <c r="H150" s="85"/>
    </row>
    <row r="151" spans="4:8" ht="15.75">
      <c r="D151" s="85"/>
      <c r="E151" s="85"/>
      <c r="F151" s="85"/>
      <c r="G151" s="85"/>
      <c r="H151" s="85"/>
    </row>
    <row r="152" spans="4:8" ht="15.75">
      <c r="D152" s="85"/>
      <c r="E152" s="85"/>
      <c r="F152" s="85"/>
      <c r="G152" s="85"/>
      <c r="H152" s="85"/>
    </row>
    <row r="153" spans="4:8" ht="15.75">
      <c r="D153" s="85"/>
      <c r="E153" s="85"/>
      <c r="F153" s="85"/>
      <c r="G153" s="85"/>
      <c r="H153" s="85"/>
    </row>
    <row r="154" spans="4:8" ht="15.75">
      <c r="D154" s="85"/>
      <c r="E154" s="85"/>
      <c r="F154" s="85"/>
      <c r="G154" s="85"/>
      <c r="H154" s="85"/>
    </row>
    <row r="155" spans="4:8" ht="15.75">
      <c r="D155" s="85"/>
      <c r="E155" s="85"/>
      <c r="F155" s="85"/>
      <c r="G155" s="85"/>
      <c r="H155" s="85"/>
    </row>
    <row r="156" spans="4:8" ht="15.75">
      <c r="D156" s="85"/>
      <c r="E156" s="85"/>
      <c r="F156" s="85"/>
      <c r="G156" s="85"/>
      <c r="H156" s="85"/>
    </row>
    <row r="157" spans="4:8" ht="15.75">
      <c r="D157" s="85"/>
      <c r="E157" s="85"/>
      <c r="F157" s="85"/>
      <c r="G157" s="85"/>
      <c r="H157" s="85"/>
    </row>
    <row r="158" spans="4:8" ht="15.75">
      <c r="D158" s="85"/>
      <c r="E158" s="85"/>
      <c r="F158" s="85"/>
      <c r="G158" s="85"/>
      <c r="H158" s="85"/>
    </row>
    <row r="159" spans="4:8" ht="15.75">
      <c r="D159" s="85"/>
      <c r="E159" s="85"/>
      <c r="F159" s="85"/>
      <c r="G159" s="85"/>
      <c r="H159" s="85"/>
    </row>
    <row r="160" spans="4:8" ht="15.75">
      <c r="D160" s="85"/>
      <c r="E160" s="85"/>
      <c r="F160" s="85"/>
      <c r="G160" s="85"/>
      <c r="H160" s="85"/>
    </row>
    <row r="161" spans="4:8" ht="15.75">
      <c r="D161" s="85"/>
      <c r="E161" s="85"/>
      <c r="F161" s="85"/>
      <c r="G161" s="85"/>
      <c r="H161" s="85"/>
    </row>
    <row r="162" spans="4:8" ht="15.75">
      <c r="D162" s="85"/>
      <c r="E162" s="85"/>
      <c r="F162" s="85"/>
      <c r="G162" s="85"/>
      <c r="H162" s="85"/>
    </row>
    <row r="163" spans="4:8" ht="15.75">
      <c r="D163" s="85"/>
      <c r="E163" s="85"/>
      <c r="F163" s="85"/>
      <c r="G163" s="85"/>
      <c r="H163" s="85"/>
    </row>
    <row r="164" spans="4:8" ht="15.75">
      <c r="D164" s="85"/>
      <c r="E164" s="85"/>
      <c r="F164" s="85"/>
      <c r="G164" s="85"/>
      <c r="H164" s="85"/>
    </row>
    <row r="165" spans="4:8" ht="15.75">
      <c r="D165" s="85"/>
      <c r="E165" s="85"/>
      <c r="F165" s="85"/>
      <c r="G165" s="85"/>
      <c r="H165" s="85"/>
    </row>
    <row r="166" spans="4:8" ht="15.75">
      <c r="D166" s="85"/>
      <c r="E166" s="85"/>
      <c r="F166" s="85"/>
      <c r="G166" s="85"/>
      <c r="H166" s="85"/>
    </row>
    <row r="167" spans="4:8" ht="15.75">
      <c r="D167" s="85"/>
      <c r="E167" s="85"/>
      <c r="F167" s="85"/>
      <c r="G167" s="85"/>
      <c r="H167" s="85"/>
    </row>
    <row r="168" spans="4:8" ht="15.75">
      <c r="D168" s="85"/>
      <c r="E168" s="85"/>
      <c r="F168" s="85"/>
      <c r="G168" s="85"/>
      <c r="H168" s="85"/>
    </row>
    <row r="169" spans="4:8" ht="15.75">
      <c r="D169" s="85"/>
      <c r="E169" s="85"/>
      <c r="F169" s="85"/>
      <c r="G169" s="85"/>
      <c r="H169" s="85"/>
    </row>
    <row r="170" spans="4:8" ht="15.75">
      <c r="D170" s="85"/>
      <c r="E170" s="85"/>
      <c r="F170" s="85"/>
      <c r="G170" s="85"/>
      <c r="H170" s="85"/>
    </row>
    <row r="171" spans="4:8" ht="15.75">
      <c r="D171" s="85"/>
      <c r="E171" s="85"/>
      <c r="F171" s="85"/>
      <c r="G171" s="85"/>
      <c r="H171" s="85"/>
    </row>
    <row r="172" spans="4:8" ht="15.75">
      <c r="D172" s="85"/>
      <c r="E172" s="85"/>
      <c r="F172" s="85"/>
      <c r="G172" s="85"/>
      <c r="H172" s="85"/>
    </row>
    <row r="173" spans="4:8" ht="15.75">
      <c r="D173" s="85"/>
      <c r="E173" s="85"/>
      <c r="F173" s="85"/>
      <c r="G173" s="85"/>
      <c r="H173" s="85"/>
    </row>
    <row r="174" spans="4:8" ht="15.75">
      <c r="D174" s="85"/>
      <c r="E174" s="85"/>
      <c r="F174" s="85"/>
      <c r="G174" s="85"/>
      <c r="H174" s="85"/>
    </row>
    <row r="175" spans="4:8" ht="15.75">
      <c r="D175" s="85"/>
      <c r="E175" s="85"/>
      <c r="F175" s="85"/>
      <c r="G175" s="85"/>
      <c r="H175" s="85"/>
    </row>
    <row r="176" spans="4:8" ht="15.75">
      <c r="D176" s="85"/>
      <c r="E176" s="85"/>
      <c r="F176" s="85"/>
      <c r="G176" s="85"/>
      <c r="H176" s="85"/>
    </row>
    <row r="177" spans="4:8" ht="15.75">
      <c r="D177" s="85"/>
      <c r="E177" s="85"/>
      <c r="F177" s="85"/>
      <c r="G177" s="85"/>
      <c r="H177" s="85"/>
    </row>
    <row r="178" spans="4:8" ht="15.75">
      <c r="D178" s="85"/>
      <c r="E178" s="85"/>
      <c r="F178" s="85"/>
      <c r="G178" s="85"/>
      <c r="H178" s="85"/>
    </row>
    <row r="179" spans="4:8" ht="15.75">
      <c r="D179" s="85"/>
      <c r="E179" s="85"/>
      <c r="F179" s="85"/>
      <c r="G179" s="85"/>
      <c r="H179" s="85"/>
    </row>
    <row r="180" spans="4:8" ht="15.75">
      <c r="D180" s="85"/>
      <c r="E180" s="85"/>
      <c r="F180" s="85"/>
      <c r="G180" s="85"/>
      <c r="H180" s="85"/>
    </row>
    <row r="181" spans="4:8" ht="15.75">
      <c r="D181" s="85"/>
      <c r="E181" s="85"/>
      <c r="F181" s="85"/>
      <c r="G181" s="85"/>
      <c r="H181" s="85"/>
    </row>
    <row r="182" spans="4:8" ht="15.75">
      <c r="D182" s="85"/>
      <c r="E182" s="85"/>
      <c r="F182" s="85"/>
      <c r="G182" s="85"/>
      <c r="H182" s="85"/>
    </row>
    <row r="183" spans="4:8" ht="15.75">
      <c r="D183" s="85"/>
      <c r="E183" s="85"/>
      <c r="F183" s="85"/>
      <c r="G183" s="85"/>
      <c r="H183" s="85"/>
    </row>
    <row r="184" spans="4:8" ht="15.75">
      <c r="D184" s="85"/>
      <c r="E184" s="85"/>
      <c r="F184" s="85"/>
      <c r="G184" s="85"/>
      <c r="H184" s="85"/>
    </row>
    <row r="185" spans="4:8" ht="15.75">
      <c r="D185" s="85"/>
      <c r="E185" s="85"/>
      <c r="F185" s="85"/>
      <c r="G185" s="85"/>
      <c r="H185" s="85"/>
    </row>
    <row r="186" spans="4:8" ht="15.75">
      <c r="D186" s="85"/>
      <c r="E186" s="85"/>
      <c r="F186" s="85"/>
      <c r="G186" s="85"/>
      <c r="H186" s="85"/>
    </row>
    <row r="187" spans="4:8" ht="15.75">
      <c r="D187" s="85"/>
      <c r="E187" s="85"/>
      <c r="F187" s="85"/>
      <c r="G187" s="85"/>
      <c r="H187" s="85"/>
    </row>
    <row r="188" spans="4:8" ht="15.75">
      <c r="D188" s="85"/>
      <c r="E188" s="85"/>
      <c r="F188" s="85"/>
      <c r="G188" s="85"/>
      <c r="H188" s="85"/>
    </row>
    <row r="189" spans="4:8" ht="15.75">
      <c r="D189" s="85"/>
      <c r="E189" s="85"/>
      <c r="F189" s="85"/>
      <c r="G189" s="85"/>
      <c r="H189" s="85"/>
    </row>
    <row r="190" spans="4:8" ht="15.75">
      <c r="D190" s="85"/>
      <c r="E190" s="85"/>
      <c r="F190" s="85"/>
      <c r="G190" s="85"/>
      <c r="H190" s="85"/>
    </row>
    <row r="191" spans="4:8" ht="15.75">
      <c r="D191" s="85"/>
      <c r="E191" s="85"/>
      <c r="F191" s="85"/>
      <c r="G191" s="85"/>
      <c r="H191" s="85"/>
    </row>
    <row r="192" spans="4:8" ht="15.75">
      <c r="D192" s="85"/>
      <c r="E192" s="85"/>
      <c r="F192" s="85"/>
      <c r="G192" s="85"/>
      <c r="H192" s="85"/>
    </row>
    <row r="193" spans="4:8" ht="15.75">
      <c r="D193" s="85"/>
      <c r="E193" s="85"/>
      <c r="F193" s="85"/>
      <c r="G193" s="85"/>
      <c r="H193" s="85"/>
    </row>
    <row r="194" spans="4:8" ht="15.75">
      <c r="D194" s="85"/>
      <c r="E194" s="85"/>
      <c r="F194" s="85"/>
      <c r="G194" s="85"/>
      <c r="H194" s="85"/>
    </row>
    <row r="195" spans="4:8" ht="15.75">
      <c r="D195" s="85"/>
      <c r="E195" s="85"/>
      <c r="F195" s="85"/>
      <c r="G195" s="85"/>
      <c r="H195" s="85"/>
    </row>
    <row r="196" spans="4:8" ht="15.75">
      <c r="D196" s="85"/>
      <c r="E196" s="85"/>
      <c r="F196" s="85"/>
      <c r="G196" s="85"/>
      <c r="H196" s="85"/>
    </row>
    <row r="197" spans="4:8" ht="15.75">
      <c r="D197" s="85"/>
      <c r="E197" s="85"/>
      <c r="F197" s="85"/>
      <c r="G197" s="85"/>
      <c r="H197" s="85"/>
    </row>
    <row r="198" spans="4:8" ht="15.75">
      <c r="D198" s="85"/>
      <c r="E198" s="85"/>
      <c r="F198" s="85"/>
      <c r="G198" s="85"/>
      <c r="H198" s="85"/>
    </row>
    <row r="199" spans="4:8" ht="15.75">
      <c r="D199" s="85"/>
      <c r="E199" s="85"/>
      <c r="F199" s="85"/>
      <c r="G199" s="85"/>
      <c r="H199" s="85"/>
    </row>
    <row r="200" spans="4:8" ht="15.75">
      <c r="D200" s="85"/>
      <c r="E200" s="85"/>
      <c r="F200" s="85"/>
      <c r="G200" s="85"/>
      <c r="H200" s="85"/>
    </row>
    <row r="201" spans="4:8" ht="15.75">
      <c r="D201" s="85"/>
      <c r="E201" s="85"/>
      <c r="F201" s="85"/>
      <c r="G201" s="85"/>
      <c r="H201" s="85"/>
    </row>
    <row r="202" spans="4:8" ht="15.75">
      <c r="D202" s="85"/>
      <c r="E202" s="85"/>
      <c r="F202" s="85"/>
      <c r="G202" s="85"/>
      <c r="H202" s="85"/>
    </row>
    <row r="203" spans="4:8" ht="15.75">
      <c r="D203" s="85"/>
      <c r="E203" s="85"/>
      <c r="F203" s="85"/>
      <c r="G203" s="85"/>
      <c r="H203" s="85"/>
    </row>
    <row r="204" spans="4:8" ht="15.75">
      <c r="D204" s="85"/>
      <c r="E204" s="85"/>
      <c r="F204" s="85"/>
      <c r="G204" s="85"/>
      <c r="H204" s="85"/>
    </row>
    <row r="205" spans="4:8" ht="15.75">
      <c r="D205" s="85"/>
      <c r="E205" s="85"/>
      <c r="F205" s="85"/>
      <c r="G205" s="85"/>
      <c r="H205" s="85"/>
    </row>
    <row r="206" spans="4:8" ht="15.75">
      <c r="D206" s="85"/>
      <c r="E206" s="85"/>
      <c r="F206" s="85"/>
      <c r="G206" s="85"/>
      <c r="H206" s="85"/>
    </row>
    <row r="207" spans="4:8" ht="15.75">
      <c r="D207" s="85"/>
      <c r="E207" s="85"/>
      <c r="F207" s="85"/>
      <c r="G207" s="85"/>
      <c r="H207" s="85"/>
    </row>
    <row r="208" spans="4:8" ht="15.75">
      <c r="D208" s="85"/>
      <c r="E208" s="85"/>
      <c r="F208" s="85"/>
      <c r="G208" s="85"/>
      <c r="H208" s="85"/>
    </row>
    <row r="209" spans="4:8" ht="15.75">
      <c r="D209" s="85"/>
      <c r="E209" s="85"/>
      <c r="F209" s="85"/>
      <c r="G209" s="85"/>
      <c r="H209" s="85"/>
    </row>
    <row r="210" spans="4:8" ht="15.75">
      <c r="D210" s="85"/>
      <c r="E210" s="85"/>
      <c r="F210" s="85"/>
      <c r="G210" s="85"/>
      <c r="H210" s="85"/>
    </row>
    <row r="211" spans="4:8" ht="15.75">
      <c r="D211" s="85"/>
      <c r="E211" s="85"/>
      <c r="F211" s="85"/>
      <c r="G211" s="85"/>
      <c r="H211" s="85"/>
    </row>
    <row r="212" spans="4:8" ht="15.75">
      <c r="D212" s="85"/>
      <c r="E212" s="85"/>
      <c r="F212" s="85"/>
      <c r="G212" s="85"/>
      <c r="H212" s="85"/>
    </row>
    <row r="213" spans="4:8" ht="15.75">
      <c r="D213" s="85"/>
      <c r="E213" s="85"/>
      <c r="F213" s="85"/>
      <c r="G213" s="85"/>
      <c r="H213" s="85"/>
    </row>
    <row r="214" spans="4:8" ht="15.75">
      <c r="D214" s="85"/>
      <c r="E214" s="85"/>
      <c r="F214" s="85"/>
      <c r="G214" s="85"/>
      <c r="H214" s="85"/>
    </row>
    <row r="215" spans="4:8" ht="15.75">
      <c r="D215" s="85"/>
      <c r="E215" s="85"/>
      <c r="F215" s="85"/>
      <c r="G215" s="85"/>
      <c r="H215" s="85"/>
    </row>
    <row r="216" spans="4:8" ht="15.75">
      <c r="D216" s="85"/>
      <c r="E216" s="85"/>
      <c r="F216" s="85"/>
      <c r="G216" s="85"/>
      <c r="H216" s="85"/>
    </row>
    <row r="217" spans="4:8" ht="15.75">
      <c r="D217" s="85"/>
      <c r="E217" s="85"/>
      <c r="F217" s="85"/>
      <c r="G217" s="85"/>
      <c r="H217" s="85"/>
    </row>
    <row r="218" spans="4:8" ht="15.75">
      <c r="D218" s="85"/>
      <c r="E218" s="85"/>
      <c r="F218" s="85"/>
      <c r="G218" s="85"/>
      <c r="H218" s="85"/>
    </row>
    <row r="219" spans="4:8" ht="15.75">
      <c r="D219" s="85"/>
      <c r="E219" s="85"/>
      <c r="F219" s="85"/>
      <c r="G219" s="85"/>
      <c r="H219" s="85"/>
    </row>
    <row r="220" spans="4:8" ht="15.75">
      <c r="D220" s="85"/>
      <c r="E220" s="85"/>
      <c r="F220" s="85"/>
      <c r="G220" s="85"/>
      <c r="H220" s="85"/>
    </row>
    <row r="221" spans="4:8" ht="15.75">
      <c r="D221" s="85"/>
      <c r="E221" s="85"/>
      <c r="F221" s="85"/>
      <c r="G221" s="85"/>
      <c r="H221" s="85"/>
    </row>
    <row r="222" spans="4:8" ht="15.75">
      <c r="D222" s="85"/>
      <c r="E222" s="85"/>
      <c r="F222" s="85"/>
      <c r="G222" s="85"/>
      <c r="H222" s="85"/>
    </row>
    <row r="223" spans="4:8" ht="15.75">
      <c r="D223" s="85"/>
      <c r="E223" s="85"/>
      <c r="F223" s="85"/>
      <c r="G223" s="85"/>
      <c r="H223" s="85"/>
    </row>
    <row r="224" spans="4:8" ht="15.75">
      <c r="D224" s="85"/>
      <c r="E224" s="85"/>
      <c r="F224" s="85"/>
      <c r="G224" s="85"/>
      <c r="H224" s="85"/>
    </row>
    <row r="225" spans="4:8" ht="15.75">
      <c r="D225" s="85"/>
      <c r="E225" s="85"/>
      <c r="F225" s="85"/>
      <c r="G225" s="85"/>
      <c r="H225" s="85"/>
    </row>
    <row r="226" spans="4:8" ht="15.75">
      <c r="D226" s="85"/>
      <c r="E226" s="85"/>
      <c r="F226" s="85"/>
      <c r="G226" s="85"/>
      <c r="H226" s="85"/>
    </row>
    <row r="227" spans="4:8" ht="15.75">
      <c r="D227" s="85"/>
      <c r="E227" s="85"/>
      <c r="F227" s="85"/>
      <c r="G227" s="85"/>
      <c r="H227" s="85"/>
    </row>
    <row r="228" spans="4:8" ht="15.75">
      <c r="D228" s="85"/>
      <c r="E228" s="85"/>
      <c r="F228" s="85"/>
      <c r="G228" s="85"/>
      <c r="H228" s="85"/>
    </row>
    <row r="229" spans="4:8" ht="15.75">
      <c r="D229" s="85"/>
      <c r="E229" s="85"/>
      <c r="F229" s="85"/>
      <c r="G229" s="85"/>
      <c r="H229" s="85"/>
    </row>
    <row r="230" spans="4:8" ht="15.75">
      <c r="D230" s="85"/>
      <c r="E230" s="85"/>
      <c r="F230" s="85"/>
      <c r="G230" s="85"/>
      <c r="H230" s="85"/>
    </row>
    <row r="231" spans="4:8" ht="15.75">
      <c r="D231" s="85"/>
      <c r="E231" s="85"/>
      <c r="F231" s="85"/>
      <c r="G231" s="85"/>
      <c r="H231" s="85"/>
    </row>
    <row r="232" spans="4:8" ht="15.75">
      <c r="D232" s="85"/>
      <c r="E232" s="85"/>
      <c r="F232" s="85"/>
      <c r="G232" s="85"/>
      <c r="H232" s="85"/>
    </row>
    <row r="233" spans="4:8" ht="15.75">
      <c r="D233" s="85"/>
      <c r="E233" s="85"/>
      <c r="F233" s="85"/>
      <c r="G233" s="85"/>
      <c r="H233" s="85"/>
    </row>
    <row r="234" spans="4:8" ht="15.75">
      <c r="D234" s="85"/>
      <c r="E234" s="85"/>
      <c r="F234" s="85"/>
      <c r="G234" s="85"/>
      <c r="H234" s="85"/>
    </row>
    <row r="235" spans="4:8" ht="15.75">
      <c r="D235" s="85"/>
      <c r="E235" s="85"/>
      <c r="F235" s="85"/>
      <c r="G235" s="85"/>
      <c r="H235" s="85"/>
    </row>
    <row r="236" spans="4:8" ht="15.75">
      <c r="D236" s="85"/>
      <c r="E236" s="85"/>
      <c r="F236" s="85"/>
      <c r="G236" s="85"/>
      <c r="H236" s="85"/>
    </row>
    <row r="237" spans="4:8" ht="15.75">
      <c r="D237" s="85"/>
      <c r="E237" s="85"/>
      <c r="F237" s="85"/>
      <c r="G237" s="85"/>
      <c r="H237" s="85"/>
    </row>
    <row r="238" spans="4:8" ht="15.75">
      <c r="D238" s="85"/>
      <c r="E238" s="85"/>
      <c r="F238" s="85"/>
      <c r="G238" s="85"/>
      <c r="H238" s="85"/>
    </row>
    <row r="239" spans="4:8" ht="15.75">
      <c r="D239" s="85"/>
      <c r="E239" s="85"/>
      <c r="F239" s="85"/>
      <c r="G239" s="85"/>
      <c r="H239" s="85"/>
    </row>
    <row r="240" spans="4:8" ht="15.75">
      <c r="D240" s="85"/>
      <c r="E240" s="85"/>
      <c r="F240" s="85"/>
      <c r="G240" s="85"/>
      <c r="H240" s="85"/>
    </row>
    <row r="241" spans="4:8" ht="15.75">
      <c r="D241" s="85"/>
      <c r="E241" s="85"/>
      <c r="F241" s="85"/>
      <c r="G241" s="85"/>
      <c r="H241" s="85"/>
    </row>
    <row r="242" spans="4:8" ht="15.75">
      <c r="D242" s="85"/>
      <c r="E242" s="85"/>
      <c r="F242" s="85"/>
      <c r="G242" s="85"/>
      <c r="H242" s="85"/>
    </row>
    <row r="243" spans="4:8" ht="15.75">
      <c r="D243" s="85"/>
      <c r="E243" s="85"/>
      <c r="F243" s="85"/>
      <c r="G243" s="85"/>
      <c r="H243" s="85"/>
    </row>
    <row r="244" spans="4:8" ht="15.75">
      <c r="D244" s="85"/>
      <c r="E244" s="85"/>
      <c r="F244" s="85"/>
      <c r="G244" s="85"/>
      <c r="H244" s="85"/>
    </row>
    <row r="245" spans="4:8" ht="15.75">
      <c r="D245" s="85"/>
      <c r="E245" s="85"/>
      <c r="F245" s="85"/>
      <c r="G245" s="85"/>
      <c r="H245" s="85"/>
    </row>
    <row r="246" spans="4:8" ht="15.75">
      <c r="D246" s="85"/>
      <c r="E246" s="85"/>
      <c r="F246" s="85"/>
      <c r="G246" s="85"/>
      <c r="H246" s="85"/>
    </row>
    <row r="247" spans="4:8" ht="15.75">
      <c r="D247" s="85"/>
      <c r="E247" s="85"/>
      <c r="F247" s="85"/>
      <c r="G247" s="85"/>
      <c r="H247" s="85"/>
    </row>
    <row r="248" spans="4:8" ht="15.75">
      <c r="D248" s="85"/>
      <c r="E248" s="85"/>
      <c r="F248" s="85"/>
      <c r="G248" s="85"/>
      <c r="H248" s="85"/>
    </row>
    <row r="249" spans="4:8" ht="15.75">
      <c r="D249" s="85"/>
      <c r="E249" s="85"/>
      <c r="F249" s="85"/>
      <c r="G249" s="85"/>
      <c r="H249" s="85"/>
    </row>
    <row r="250" spans="4:8" ht="15.75">
      <c r="D250" s="85"/>
      <c r="E250" s="85"/>
      <c r="F250" s="85"/>
      <c r="G250" s="85"/>
      <c r="H250" s="85"/>
    </row>
    <row r="251" spans="4:8" ht="15.75">
      <c r="D251" s="85"/>
      <c r="E251" s="85"/>
      <c r="F251" s="85"/>
      <c r="G251" s="85"/>
      <c r="H251" s="85"/>
    </row>
    <row r="252" spans="4:8" ht="15.75">
      <c r="D252" s="85"/>
      <c r="E252" s="85"/>
      <c r="F252" s="85"/>
      <c r="G252" s="85"/>
      <c r="H252" s="85"/>
    </row>
    <row r="253" spans="4:8" ht="15.75">
      <c r="D253" s="85"/>
      <c r="E253" s="85"/>
      <c r="F253" s="85"/>
      <c r="G253" s="85"/>
      <c r="H253" s="85"/>
    </row>
    <row r="254" spans="4:8" ht="15.75">
      <c r="D254" s="85"/>
      <c r="E254" s="85"/>
      <c r="F254" s="85"/>
      <c r="G254" s="85"/>
      <c r="H254" s="85"/>
    </row>
    <row r="255" spans="4:8" ht="15.75">
      <c r="D255" s="85"/>
      <c r="E255" s="85"/>
      <c r="F255" s="85"/>
      <c r="G255" s="85"/>
      <c r="H255" s="85"/>
    </row>
    <row r="256" spans="4:8" ht="15.75">
      <c r="D256" s="85"/>
      <c r="E256" s="85"/>
      <c r="F256" s="85"/>
      <c r="G256" s="85"/>
      <c r="H256" s="85"/>
    </row>
    <row r="257" spans="4:8" ht="15.75">
      <c r="D257" s="85"/>
      <c r="E257" s="85"/>
      <c r="F257" s="85"/>
      <c r="G257" s="85"/>
      <c r="H257" s="85"/>
    </row>
    <row r="258" spans="4:8" ht="15.75">
      <c r="D258" s="85"/>
      <c r="E258" s="85"/>
      <c r="F258" s="85"/>
      <c r="G258" s="85"/>
      <c r="H258" s="85"/>
    </row>
    <row r="259" spans="4:8" ht="15.75">
      <c r="D259" s="85"/>
      <c r="E259" s="85"/>
      <c r="F259" s="85"/>
      <c r="G259" s="85"/>
      <c r="H259" s="85"/>
    </row>
    <row r="260" spans="4:8" ht="15.75">
      <c r="D260" s="85"/>
      <c r="E260" s="85"/>
      <c r="F260" s="85"/>
      <c r="G260" s="85"/>
      <c r="H260" s="85"/>
    </row>
    <row r="261" spans="4:8" ht="15.75">
      <c r="D261" s="85"/>
      <c r="E261" s="85"/>
      <c r="F261" s="85"/>
      <c r="G261" s="85"/>
      <c r="H261" s="85"/>
    </row>
    <row r="262" spans="4:8" ht="15.75">
      <c r="D262" s="85"/>
      <c r="E262" s="85"/>
      <c r="F262" s="85"/>
      <c r="G262" s="85"/>
      <c r="H262" s="85"/>
    </row>
    <row r="263" spans="4:8" ht="15.75">
      <c r="D263" s="85"/>
      <c r="E263" s="85"/>
      <c r="F263" s="85"/>
      <c r="G263" s="85"/>
      <c r="H263" s="85"/>
    </row>
    <row r="264" spans="4:8" ht="15.75">
      <c r="D264" s="85"/>
      <c r="E264" s="85"/>
      <c r="F264" s="85"/>
      <c r="G264" s="85"/>
      <c r="H264" s="85"/>
    </row>
    <row r="265" spans="4:8" ht="15.75">
      <c r="D265" s="85"/>
      <c r="E265" s="85"/>
      <c r="F265" s="85"/>
      <c r="G265" s="85"/>
      <c r="H265" s="85"/>
    </row>
    <row r="266" spans="4:8" ht="15.75">
      <c r="D266" s="85"/>
      <c r="E266" s="85"/>
      <c r="F266" s="85"/>
      <c r="G266" s="85"/>
      <c r="H266" s="85"/>
    </row>
    <row r="267" spans="4:8" ht="15.75">
      <c r="D267" s="85"/>
      <c r="E267" s="85"/>
      <c r="F267" s="85"/>
      <c r="G267" s="85"/>
      <c r="H267" s="85"/>
    </row>
    <row r="268" spans="4:8" ht="15.75">
      <c r="D268" s="85"/>
      <c r="E268" s="85"/>
      <c r="F268" s="85"/>
      <c r="G268" s="85"/>
      <c r="H268" s="85"/>
    </row>
    <row r="269" spans="4:8" ht="15.75">
      <c r="D269" s="85"/>
      <c r="E269" s="85"/>
      <c r="F269" s="85"/>
      <c r="G269" s="85"/>
      <c r="H269" s="85"/>
    </row>
    <row r="270" spans="4:8" ht="15.75">
      <c r="D270" s="85"/>
      <c r="E270" s="85"/>
      <c r="F270" s="85"/>
      <c r="G270" s="85"/>
      <c r="H270" s="85"/>
    </row>
    <row r="271" spans="4:8" ht="15.75">
      <c r="D271" s="85"/>
      <c r="E271" s="85"/>
      <c r="F271" s="85"/>
      <c r="G271" s="85"/>
      <c r="H271" s="85"/>
    </row>
    <row r="272" spans="4:8" ht="15.75">
      <c r="D272" s="85"/>
      <c r="E272" s="85"/>
      <c r="F272" s="85"/>
      <c r="G272" s="85"/>
      <c r="H272" s="85"/>
    </row>
    <row r="273" spans="4:8" ht="15.75">
      <c r="D273" s="85"/>
      <c r="E273" s="85"/>
      <c r="F273" s="85"/>
      <c r="G273" s="85"/>
      <c r="H273" s="85"/>
    </row>
    <row r="274" spans="4:8" ht="15.75">
      <c r="D274" s="85"/>
      <c r="E274" s="85"/>
      <c r="F274" s="85"/>
      <c r="G274" s="85"/>
      <c r="H274" s="85"/>
    </row>
    <row r="275" spans="4:8" ht="15.75">
      <c r="D275" s="85"/>
      <c r="E275" s="85"/>
      <c r="F275" s="85"/>
      <c r="G275" s="85"/>
      <c r="H275" s="85"/>
    </row>
    <row r="276" spans="4:8" ht="15.75">
      <c r="D276" s="85"/>
      <c r="E276" s="85"/>
      <c r="F276" s="85"/>
      <c r="G276" s="85"/>
      <c r="H276" s="85"/>
    </row>
    <row r="277" spans="4:8" ht="15.75">
      <c r="D277" s="85"/>
      <c r="E277" s="85"/>
      <c r="F277" s="85"/>
      <c r="G277" s="85"/>
      <c r="H277" s="85"/>
    </row>
    <row r="278" spans="4:8" ht="15.75">
      <c r="D278" s="85"/>
      <c r="E278" s="85"/>
      <c r="F278" s="85"/>
      <c r="G278" s="85"/>
      <c r="H278" s="85"/>
    </row>
    <row r="279" spans="4:8" ht="15.75">
      <c r="D279" s="85"/>
      <c r="E279" s="85"/>
      <c r="F279" s="85"/>
      <c r="G279" s="85"/>
      <c r="H279" s="85"/>
    </row>
    <row r="280" spans="4:8" ht="15.75">
      <c r="D280" s="85"/>
      <c r="E280" s="85"/>
      <c r="F280" s="85"/>
      <c r="G280" s="85"/>
      <c r="H280" s="85"/>
    </row>
    <row r="281" spans="4:8" ht="15.75">
      <c r="D281" s="85"/>
      <c r="E281" s="85"/>
      <c r="F281" s="85"/>
      <c r="G281" s="85"/>
      <c r="H281" s="85"/>
    </row>
    <row r="282" spans="4:8" ht="15.75">
      <c r="D282" s="85"/>
      <c r="E282" s="85"/>
      <c r="F282" s="85"/>
      <c r="G282" s="85"/>
      <c r="H282" s="85"/>
    </row>
    <row r="283" spans="4:8" ht="15.75">
      <c r="D283" s="85"/>
      <c r="E283" s="85"/>
      <c r="F283" s="85"/>
      <c r="G283" s="85"/>
      <c r="H283" s="85"/>
    </row>
    <row r="284" spans="4:8" ht="15.75">
      <c r="D284" s="85"/>
      <c r="E284" s="85"/>
      <c r="F284" s="85"/>
      <c r="G284" s="85"/>
      <c r="H284" s="85"/>
    </row>
    <row r="285" spans="4:8" ht="15.75">
      <c r="D285" s="85"/>
      <c r="E285" s="85"/>
      <c r="F285" s="85"/>
      <c r="G285" s="85"/>
      <c r="H285" s="85"/>
    </row>
    <row r="286" spans="4:8" ht="15.75">
      <c r="D286" s="85"/>
      <c r="E286" s="85"/>
      <c r="F286" s="85"/>
      <c r="G286" s="85"/>
      <c r="H286" s="85"/>
    </row>
    <row r="287" spans="4:8" ht="15.75">
      <c r="D287" s="85"/>
      <c r="E287" s="85"/>
      <c r="F287" s="85"/>
      <c r="G287" s="85"/>
      <c r="H287" s="85"/>
    </row>
    <row r="288" spans="4:8" ht="15.75">
      <c r="D288" s="85"/>
      <c r="E288" s="85"/>
      <c r="F288" s="85"/>
      <c r="G288" s="85"/>
      <c r="H288" s="85"/>
    </row>
    <row r="289" spans="4:8" ht="15.75">
      <c r="D289" s="85"/>
      <c r="E289" s="85"/>
      <c r="F289" s="85"/>
      <c r="G289" s="85"/>
      <c r="H289" s="85"/>
    </row>
    <row r="290" spans="4:8" ht="15.75">
      <c r="D290" s="85"/>
      <c r="E290" s="85"/>
      <c r="F290" s="85"/>
      <c r="G290" s="85"/>
      <c r="H290" s="85"/>
    </row>
    <row r="291" spans="4:8" ht="15.75">
      <c r="D291" s="85"/>
      <c r="E291" s="85"/>
      <c r="F291" s="85"/>
      <c r="G291" s="85"/>
      <c r="H291" s="85"/>
    </row>
    <row r="292" spans="4:8" ht="15.75">
      <c r="D292" s="85"/>
      <c r="E292" s="85"/>
      <c r="F292" s="85"/>
      <c r="G292" s="85"/>
      <c r="H292" s="85"/>
    </row>
    <row r="293" spans="4:8" ht="15.75">
      <c r="D293" s="85"/>
      <c r="E293" s="85"/>
      <c r="F293" s="85"/>
      <c r="G293" s="85"/>
      <c r="H293" s="85"/>
    </row>
    <row r="294" spans="4:8" ht="15.75">
      <c r="D294" s="85"/>
      <c r="E294" s="85"/>
      <c r="F294" s="85"/>
      <c r="G294" s="85"/>
      <c r="H294" s="85"/>
    </row>
    <row r="295" spans="4:8" ht="15.75">
      <c r="D295" s="85"/>
      <c r="E295" s="85"/>
      <c r="F295" s="85"/>
      <c r="G295" s="85"/>
      <c r="H295" s="85"/>
    </row>
    <row r="296" spans="4:8" ht="15.75">
      <c r="D296" s="85"/>
      <c r="E296" s="85"/>
      <c r="F296" s="85"/>
      <c r="G296" s="85"/>
      <c r="H296" s="85"/>
    </row>
    <row r="297" spans="4:8" ht="15.75">
      <c r="D297" s="85"/>
      <c r="E297" s="85"/>
      <c r="F297" s="85"/>
      <c r="G297" s="85"/>
      <c r="H297" s="85"/>
    </row>
    <row r="298" spans="4:8" ht="15.75">
      <c r="D298" s="85"/>
      <c r="E298" s="85"/>
      <c r="F298" s="85"/>
      <c r="G298" s="85"/>
      <c r="H298" s="85"/>
    </row>
    <row r="299" spans="4:8" ht="15.75">
      <c r="D299" s="85"/>
      <c r="E299" s="85"/>
      <c r="F299" s="85"/>
      <c r="G299" s="85"/>
      <c r="H299" s="85"/>
    </row>
    <row r="300" spans="4:8" ht="15.75">
      <c r="D300" s="85"/>
      <c r="E300" s="85"/>
      <c r="F300" s="85"/>
      <c r="G300" s="85"/>
      <c r="H300" s="85"/>
    </row>
    <row r="301" spans="4:8" ht="15.75">
      <c r="D301" s="85"/>
      <c r="E301" s="85"/>
      <c r="F301" s="85"/>
      <c r="G301" s="85"/>
      <c r="H301" s="85"/>
    </row>
    <row r="302" spans="4:8" ht="15.75">
      <c r="D302" s="85"/>
      <c r="E302" s="85"/>
      <c r="F302" s="85"/>
      <c r="G302" s="85"/>
      <c r="H302" s="85"/>
    </row>
    <row r="303" spans="4:8" ht="15.75">
      <c r="D303" s="85"/>
      <c r="E303" s="85"/>
      <c r="F303" s="85"/>
      <c r="G303" s="85"/>
      <c r="H303" s="85"/>
    </row>
    <row r="304" spans="4:8" ht="15.75">
      <c r="D304" s="85"/>
      <c r="E304" s="85"/>
      <c r="F304" s="85"/>
      <c r="G304" s="85"/>
      <c r="H304" s="85"/>
    </row>
    <row r="305" spans="4:8" ht="15.75">
      <c r="D305" s="85"/>
      <c r="E305" s="85"/>
      <c r="F305" s="85"/>
      <c r="G305" s="85"/>
      <c r="H305" s="85"/>
    </row>
    <row r="306" spans="4:8" ht="15.75">
      <c r="D306" s="85"/>
      <c r="E306" s="85"/>
      <c r="F306" s="85"/>
      <c r="G306" s="85"/>
      <c r="H306" s="85"/>
    </row>
    <row r="307" spans="4:8" ht="15.75">
      <c r="D307" s="85"/>
      <c r="E307" s="85"/>
      <c r="F307" s="85"/>
      <c r="G307" s="85"/>
      <c r="H307" s="85"/>
    </row>
    <row r="308" spans="4:8" ht="15.75">
      <c r="D308" s="85"/>
      <c r="E308" s="85"/>
      <c r="F308" s="85"/>
      <c r="G308" s="85"/>
      <c r="H308" s="85"/>
    </row>
    <row r="309" spans="4:8" ht="15.75">
      <c r="D309" s="85"/>
      <c r="E309" s="85"/>
      <c r="F309" s="85"/>
      <c r="G309" s="85"/>
      <c r="H309" s="85"/>
    </row>
    <row r="310" spans="4:8" ht="15.75">
      <c r="D310" s="85"/>
      <c r="E310" s="85"/>
      <c r="F310" s="85"/>
      <c r="G310" s="85"/>
      <c r="H310" s="85"/>
    </row>
    <row r="311" spans="4:8" ht="15.75">
      <c r="D311" s="85"/>
      <c r="E311" s="85"/>
      <c r="F311" s="85"/>
      <c r="G311" s="85"/>
      <c r="H311" s="85"/>
    </row>
    <row r="312" spans="4:8" ht="15.75">
      <c r="D312" s="85"/>
      <c r="E312" s="85"/>
      <c r="F312" s="85"/>
      <c r="G312" s="85"/>
      <c r="H312" s="85"/>
    </row>
    <row r="313" spans="4:8" ht="15.75">
      <c r="D313" s="85"/>
      <c r="E313" s="85"/>
      <c r="F313" s="85"/>
      <c r="G313" s="85"/>
      <c r="H313" s="85"/>
    </row>
    <row r="314" spans="4:8" ht="15.75">
      <c r="D314" s="85"/>
      <c r="E314" s="85"/>
      <c r="F314" s="85"/>
      <c r="G314" s="85"/>
      <c r="H314" s="85"/>
    </row>
    <row r="315" spans="4:8" ht="15.75">
      <c r="D315" s="85"/>
      <c r="E315" s="85"/>
      <c r="F315" s="85"/>
      <c r="G315" s="85"/>
      <c r="H315" s="85"/>
    </row>
    <row r="316" spans="4:8" ht="15.75">
      <c r="D316" s="85"/>
      <c r="E316" s="85"/>
      <c r="F316" s="85"/>
      <c r="G316" s="85"/>
      <c r="H316" s="85"/>
    </row>
    <row r="317" spans="4:8" ht="15.75">
      <c r="D317" s="85"/>
      <c r="E317" s="85"/>
      <c r="F317" s="85"/>
      <c r="G317" s="85"/>
      <c r="H317" s="85"/>
    </row>
    <row r="318" spans="4:8" ht="15.75">
      <c r="D318" s="85"/>
      <c r="E318" s="85"/>
      <c r="F318" s="85"/>
      <c r="G318" s="85"/>
      <c r="H318" s="85"/>
    </row>
    <row r="319" spans="4:8" ht="15.75">
      <c r="D319" s="85"/>
      <c r="E319" s="85"/>
      <c r="F319" s="85"/>
      <c r="G319" s="85"/>
      <c r="H319" s="85"/>
    </row>
    <row r="320" spans="4:8" ht="15.75">
      <c r="D320" s="85"/>
      <c r="E320" s="85"/>
      <c r="F320" s="85"/>
      <c r="G320" s="85"/>
      <c r="H320" s="85"/>
    </row>
    <row r="321" spans="4:8" ht="15.75">
      <c r="D321" s="85"/>
      <c r="E321" s="85"/>
      <c r="F321" s="85"/>
      <c r="G321" s="85"/>
      <c r="H321" s="85"/>
    </row>
    <row r="322" spans="4:8" ht="15.75">
      <c r="D322" s="85"/>
      <c r="E322" s="85"/>
      <c r="F322" s="85"/>
      <c r="G322" s="85"/>
      <c r="H322" s="85"/>
    </row>
    <row r="323" spans="4:8" ht="15.75">
      <c r="D323" s="85"/>
      <c r="E323" s="85"/>
      <c r="F323" s="85"/>
      <c r="G323" s="85"/>
      <c r="H323" s="85"/>
    </row>
    <row r="324" spans="4:8" ht="15.75">
      <c r="D324" s="85"/>
      <c r="E324" s="85"/>
      <c r="F324" s="85"/>
      <c r="G324" s="85"/>
      <c r="H324" s="85"/>
    </row>
    <row r="325" spans="4:8" ht="15.75">
      <c r="D325" s="85"/>
      <c r="E325" s="85"/>
      <c r="F325" s="85"/>
      <c r="G325" s="85"/>
      <c r="H325" s="85"/>
    </row>
    <row r="326" spans="4:8" ht="15.75">
      <c r="D326" s="85"/>
      <c r="E326" s="85"/>
      <c r="F326" s="85"/>
      <c r="G326" s="85"/>
      <c r="H326" s="85"/>
    </row>
    <row r="327" spans="4:8" ht="15.75">
      <c r="D327" s="85"/>
      <c r="E327" s="85"/>
      <c r="F327" s="85"/>
      <c r="G327" s="85"/>
      <c r="H327" s="85"/>
    </row>
    <row r="328" spans="4:8" ht="15.75">
      <c r="D328" s="85"/>
      <c r="E328" s="85"/>
      <c r="F328" s="85"/>
      <c r="G328" s="85"/>
      <c r="H328" s="85"/>
    </row>
    <row r="329" spans="4:8" ht="15.75">
      <c r="D329" s="85"/>
      <c r="E329" s="85"/>
      <c r="F329" s="85"/>
      <c r="G329" s="85"/>
      <c r="H329" s="85"/>
    </row>
    <row r="330" spans="4:8" ht="15.75">
      <c r="D330" s="85"/>
      <c r="E330" s="85"/>
      <c r="F330" s="85"/>
      <c r="G330" s="85"/>
      <c r="H330" s="85"/>
    </row>
    <row r="331" spans="4:8" ht="15.75">
      <c r="D331" s="85"/>
      <c r="E331" s="85"/>
      <c r="F331" s="85"/>
      <c r="G331" s="85"/>
      <c r="H331" s="85"/>
    </row>
    <row r="332" spans="4:8" ht="15.75">
      <c r="D332" s="85"/>
      <c r="E332" s="85"/>
      <c r="F332" s="85"/>
      <c r="G332" s="85"/>
      <c r="H332" s="85"/>
    </row>
    <row r="333" spans="4:8" ht="15.75">
      <c r="D333" s="85"/>
      <c r="E333" s="85"/>
      <c r="F333" s="85"/>
      <c r="G333" s="85"/>
      <c r="H333" s="85"/>
    </row>
    <row r="334" spans="4:8" ht="15.75">
      <c r="D334" s="85"/>
      <c r="E334" s="85"/>
      <c r="F334" s="85"/>
      <c r="G334" s="85"/>
      <c r="H334" s="85"/>
    </row>
    <row r="335" spans="4:8" ht="15.75">
      <c r="D335" s="85"/>
      <c r="E335" s="85"/>
      <c r="F335" s="85"/>
      <c r="G335" s="85"/>
      <c r="H335" s="85"/>
    </row>
    <row r="336" spans="4:8" ht="15.75">
      <c r="D336" s="85"/>
      <c r="E336" s="85"/>
      <c r="F336" s="85"/>
      <c r="G336" s="85"/>
      <c r="H336" s="85"/>
    </row>
    <row r="337" spans="4:8" ht="15.75">
      <c r="D337" s="85"/>
      <c r="E337" s="85"/>
      <c r="F337" s="85"/>
      <c r="G337" s="85"/>
      <c r="H337" s="85"/>
    </row>
    <row r="338" spans="4:8" ht="15.75">
      <c r="D338" s="85"/>
      <c r="E338" s="85"/>
      <c r="F338" s="85"/>
      <c r="G338" s="85"/>
      <c r="H338" s="85"/>
    </row>
    <row r="339" spans="4:8" ht="15.75">
      <c r="D339" s="85"/>
      <c r="E339" s="85"/>
      <c r="F339" s="85"/>
      <c r="G339" s="85"/>
      <c r="H339" s="85"/>
    </row>
    <row r="340" spans="4:8" ht="15.75">
      <c r="D340" s="85"/>
      <c r="E340" s="85"/>
      <c r="F340" s="85"/>
      <c r="G340" s="85"/>
      <c r="H340" s="85"/>
    </row>
    <row r="341" spans="4:8" ht="15.75">
      <c r="D341" s="85"/>
      <c r="E341" s="85"/>
      <c r="F341" s="85"/>
      <c r="G341" s="85"/>
      <c r="H341" s="85"/>
    </row>
    <row r="342" spans="4:8" ht="15.75">
      <c r="D342" s="85"/>
      <c r="E342" s="85"/>
      <c r="F342" s="85"/>
      <c r="G342" s="85"/>
      <c r="H342" s="85"/>
    </row>
    <row r="343" spans="4:8" ht="15.75">
      <c r="D343" s="85"/>
      <c r="E343" s="85"/>
      <c r="F343" s="85"/>
      <c r="G343" s="85"/>
      <c r="H343" s="85"/>
    </row>
    <row r="344" spans="4:8" ht="15.75">
      <c r="D344" s="85"/>
      <c r="E344" s="85"/>
      <c r="F344" s="85"/>
      <c r="G344" s="85"/>
      <c r="H344" s="85"/>
    </row>
    <row r="345" spans="4:8" ht="15.75">
      <c r="D345" s="85"/>
      <c r="E345" s="85"/>
      <c r="F345" s="85"/>
      <c r="G345" s="85"/>
      <c r="H345" s="85"/>
    </row>
    <row r="346" spans="4:8" ht="15.75">
      <c r="D346" s="85"/>
      <c r="E346" s="85"/>
      <c r="F346" s="85"/>
      <c r="G346" s="85"/>
      <c r="H346" s="85"/>
    </row>
    <row r="347" spans="4:8" ht="15.75">
      <c r="D347" s="85"/>
      <c r="E347" s="85"/>
      <c r="F347" s="85"/>
      <c r="G347" s="85"/>
      <c r="H347" s="85"/>
    </row>
    <row r="348" spans="4:8" ht="15.75">
      <c r="D348" s="85"/>
      <c r="E348" s="85"/>
      <c r="F348" s="85"/>
      <c r="G348" s="85"/>
      <c r="H348" s="85"/>
    </row>
    <row r="349" spans="4:8" ht="15.75">
      <c r="D349" s="85"/>
      <c r="E349" s="85"/>
      <c r="F349" s="85"/>
      <c r="G349" s="85"/>
      <c r="H349" s="85"/>
    </row>
    <row r="350" spans="4:8" ht="15.75">
      <c r="D350" s="85"/>
      <c r="E350" s="85"/>
      <c r="F350" s="85"/>
      <c r="G350" s="85"/>
      <c r="H350" s="85"/>
    </row>
    <row r="351" spans="4:8" ht="15.75">
      <c r="D351" s="85"/>
      <c r="E351" s="85"/>
      <c r="F351" s="85"/>
      <c r="G351" s="85"/>
      <c r="H351" s="85"/>
    </row>
    <row r="352" spans="4:8" ht="15.75">
      <c r="D352" s="85"/>
      <c r="E352" s="85"/>
      <c r="F352" s="85"/>
      <c r="G352" s="85"/>
      <c r="H352" s="85"/>
    </row>
    <row r="353" spans="4:8" ht="15.75">
      <c r="D353" s="85"/>
      <c r="E353" s="85"/>
      <c r="F353" s="85"/>
      <c r="G353" s="85"/>
      <c r="H353" s="85"/>
    </row>
    <row r="354" spans="4:8" ht="15.75">
      <c r="D354" s="85"/>
      <c r="E354" s="85"/>
      <c r="F354" s="85"/>
      <c r="G354" s="85"/>
      <c r="H354" s="85"/>
    </row>
    <row r="355" spans="4:8" ht="15.75">
      <c r="D355" s="85"/>
      <c r="E355" s="85"/>
      <c r="F355" s="85"/>
      <c r="G355" s="85"/>
      <c r="H355" s="85"/>
    </row>
    <row r="356" spans="4:8" ht="15.75">
      <c r="D356" s="85"/>
      <c r="E356" s="85"/>
      <c r="F356" s="85"/>
      <c r="G356" s="85"/>
      <c r="H356" s="85"/>
    </row>
    <row r="357" spans="4:8" ht="15.75">
      <c r="D357" s="85"/>
      <c r="E357" s="85"/>
      <c r="F357" s="85"/>
      <c r="G357" s="85"/>
      <c r="H357" s="85"/>
    </row>
    <row r="358" spans="4:8" ht="15.75">
      <c r="D358" s="85"/>
      <c r="E358" s="85"/>
      <c r="F358" s="85"/>
      <c r="G358" s="85"/>
      <c r="H358" s="85"/>
    </row>
    <row r="359" spans="4:8" ht="15.75">
      <c r="D359" s="85"/>
      <c r="E359" s="85"/>
      <c r="F359" s="85"/>
      <c r="G359" s="85"/>
      <c r="H359" s="85"/>
    </row>
    <row r="360" spans="4:8" ht="15.75">
      <c r="D360" s="85"/>
      <c r="E360" s="85"/>
      <c r="F360" s="85"/>
      <c r="G360" s="85"/>
      <c r="H360" s="85"/>
    </row>
    <row r="361" spans="4:8" ht="15.75">
      <c r="D361" s="85"/>
      <c r="E361" s="85"/>
      <c r="F361" s="85"/>
      <c r="G361" s="85"/>
      <c r="H361" s="85"/>
    </row>
    <row r="362" spans="4:8" ht="15.75">
      <c r="D362" s="85"/>
      <c r="E362" s="85"/>
      <c r="F362" s="85"/>
      <c r="G362" s="85"/>
      <c r="H362" s="85"/>
    </row>
    <row r="363" spans="4:8" ht="15.75">
      <c r="D363" s="85"/>
      <c r="E363" s="85"/>
      <c r="F363" s="85"/>
      <c r="G363" s="85"/>
      <c r="H363" s="85"/>
    </row>
    <row r="364" spans="4:8" ht="15.75">
      <c r="D364" s="85"/>
      <c r="E364" s="85"/>
      <c r="F364" s="85"/>
      <c r="G364" s="85"/>
      <c r="H364" s="85"/>
    </row>
    <row r="365" spans="4:8" ht="15.75">
      <c r="D365" s="85"/>
      <c r="E365" s="85"/>
      <c r="F365" s="85"/>
      <c r="G365" s="85"/>
      <c r="H365" s="85"/>
    </row>
    <row r="366" spans="4:8" ht="15.75">
      <c r="D366" s="85"/>
      <c r="E366" s="85"/>
      <c r="F366" s="85"/>
      <c r="G366" s="85"/>
      <c r="H366" s="85"/>
    </row>
    <row r="367" spans="4:8" ht="15.75">
      <c r="D367" s="85"/>
      <c r="E367" s="85"/>
      <c r="F367" s="85"/>
      <c r="G367" s="85"/>
      <c r="H367" s="85"/>
    </row>
    <row r="368" spans="4:8" ht="15.75">
      <c r="D368" s="85"/>
      <c r="E368" s="85"/>
      <c r="F368" s="85"/>
      <c r="G368" s="85"/>
      <c r="H368" s="85"/>
    </row>
    <row r="369" spans="4:8" ht="15.75">
      <c r="D369" s="85"/>
      <c r="E369" s="85"/>
      <c r="F369" s="85"/>
      <c r="G369" s="85"/>
      <c r="H369" s="85"/>
    </row>
    <row r="370" spans="4:8" ht="15.75">
      <c r="D370" s="85"/>
      <c r="E370" s="85"/>
      <c r="F370" s="85"/>
      <c r="G370" s="85"/>
      <c r="H370" s="85"/>
    </row>
    <row r="371" spans="4:8" ht="15.75">
      <c r="D371" s="85"/>
      <c r="E371" s="85"/>
      <c r="F371" s="85"/>
      <c r="G371" s="85"/>
      <c r="H371" s="85"/>
    </row>
    <row r="372" spans="4:8" ht="15.75">
      <c r="D372" s="85"/>
      <c r="E372" s="85"/>
      <c r="F372" s="85"/>
      <c r="G372" s="85"/>
      <c r="H372" s="85"/>
    </row>
    <row r="373" spans="4:8" ht="15.75">
      <c r="D373" s="85"/>
      <c r="E373" s="85"/>
      <c r="F373" s="85"/>
      <c r="G373" s="85"/>
      <c r="H373" s="85"/>
    </row>
    <row r="374" spans="4:8" ht="15.75">
      <c r="D374" s="85"/>
      <c r="E374" s="85"/>
      <c r="F374" s="85"/>
      <c r="G374" s="85"/>
      <c r="H374" s="85"/>
    </row>
    <row r="375" spans="4:8" ht="15.75">
      <c r="D375" s="85"/>
      <c r="E375" s="85"/>
      <c r="F375" s="85"/>
      <c r="G375" s="85"/>
      <c r="H375" s="85"/>
    </row>
    <row r="376" spans="4:8" ht="15.75">
      <c r="D376" s="85"/>
      <c r="E376" s="85"/>
      <c r="F376" s="85"/>
      <c r="G376" s="85"/>
      <c r="H376" s="85"/>
    </row>
    <row r="377" spans="4:8" ht="15.75">
      <c r="D377" s="85"/>
      <c r="E377" s="85"/>
      <c r="F377" s="85"/>
      <c r="G377" s="85"/>
      <c r="H377" s="85"/>
    </row>
    <row r="378" spans="4:8" ht="15.75">
      <c r="D378" s="85"/>
      <c r="E378" s="85"/>
      <c r="F378" s="85"/>
      <c r="G378" s="85"/>
      <c r="H378" s="85"/>
    </row>
    <row r="379" spans="4:8" ht="15.75">
      <c r="D379" s="85"/>
      <c r="E379" s="85"/>
      <c r="F379" s="85"/>
      <c r="G379" s="85"/>
      <c r="H379" s="85"/>
    </row>
    <row r="380" spans="4:8" ht="15.75">
      <c r="D380" s="85"/>
      <c r="E380" s="85"/>
      <c r="F380" s="85"/>
      <c r="G380" s="85"/>
      <c r="H380" s="85"/>
    </row>
    <row r="381" spans="4:8" ht="15.75">
      <c r="D381" s="85"/>
      <c r="E381" s="85"/>
      <c r="F381" s="85"/>
      <c r="G381" s="85"/>
      <c r="H381" s="85"/>
    </row>
    <row r="382" spans="4:8" ht="15.75">
      <c r="D382" s="85"/>
      <c r="E382" s="85"/>
      <c r="F382" s="85"/>
      <c r="G382" s="85"/>
      <c r="H382" s="85"/>
    </row>
    <row r="383" spans="4:8" ht="15.75">
      <c r="D383" s="85"/>
      <c r="E383" s="85"/>
      <c r="F383" s="85"/>
      <c r="G383" s="85"/>
      <c r="H383" s="85"/>
    </row>
    <row r="384" spans="4:8" ht="15.75">
      <c r="D384" s="85"/>
      <c r="E384" s="85"/>
      <c r="F384" s="85"/>
      <c r="G384" s="85"/>
      <c r="H384" s="85"/>
    </row>
    <row r="385" spans="4:8" ht="15.75">
      <c r="D385" s="85"/>
      <c r="E385" s="85"/>
      <c r="F385" s="85"/>
      <c r="G385" s="85"/>
      <c r="H385" s="85"/>
    </row>
    <row r="386" spans="4:8" ht="15.75">
      <c r="D386" s="85"/>
      <c r="E386" s="85"/>
      <c r="F386" s="85"/>
      <c r="G386" s="85"/>
      <c r="H386" s="85"/>
    </row>
    <row r="387" spans="4:8" ht="15.75">
      <c r="D387" s="85"/>
      <c r="E387" s="85"/>
      <c r="F387" s="85"/>
      <c r="G387" s="85"/>
      <c r="H387" s="85"/>
    </row>
    <row r="388" spans="4:8" ht="15.75">
      <c r="D388" s="85"/>
      <c r="E388" s="85"/>
      <c r="F388" s="85"/>
      <c r="G388" s="85"/>
      <c r="H388" s="85"/>
    </row>
    <row r="389" spans="4:8" ht="15.75">
      <c r="D389" s="85"/>
      <c r="E389" s="85"/>
      <c r="F389" s="85"/>
      <c r="G389" s="85"/>
      <c r="H389" s="85"/>
    </row>
    <row r="390" spans="4:8" ht="15.75">
      <c r="D390" s="85"/>
      <c r="E390" s="85"/>
      <c r="F390" s="85"/>
      <c r="G390" s="85"/>
      <c r="H390" s="85"/>
    </row>
    <row r="391" spans="4:8" ht="15.75">
      <c r="D391" s="85"/>
      <c r="E391" s="85"/>
      <c r="F391" s="85"/>
      <c r="G391" s="85"/>
      <c r="H391" s="85"/>
    </row>
    <row r="392" spans="4:8" ht="15.75">
      <c r="D392" s="85"/>
      <c r="E392" s="85"/>
      <c r="F392" s="85"/>
      <c r="G392" s="85"/>
      <c r="H392" s="85"/>
    </row>
    <row r="393" spans="4:8" ht="15.75">
      <c r="D393" s="85"/>
      <c r="E393" s="85"/>
      <c r="F393" s="85"/>
      <c r="G393" s="85"/>
      <c r="H393" s="85"/>
    </row>
    <row r="394" spans="4:8" ht="15.75">
      <c r="D394" s="85"/>
      <c r="E394" s="85"/>
      <c r="F394" s="85"/>
      <c r="G394" s="85"/>
      <c r="H394" s="85"/>
    </row>
    <row r="395" spans="4:8" ht="15.75">
      <c r="D395" s="85"/>
      <c r="E395" s="85"/>
      <c r="F395" s="85"/>
      <c r="G395" s="85"/>
      <c r="H395" s="85"/>
    </row>
    <row r="396" spans="4:8" ht="15.75">
      <c r="D396" s="85"/>
      <c r="E396" s="85"/>
      <c r="F396" s="85"/>
      <c r="G396" s="85"/>
      <c r="H396" s="85"/>
    </row>
    <row r="397" spans="4:8" ht="15.75">
      <c r="D397" s="85"/>
      <c r="E397" s="85"/>
      <c r="F397" s="85"/>
      <c r="G397" s="85"/>
      <c r="H397" s="85"/>
    </row>
    <row r="398" spans="4:8" ht="15.75">
      <c r="D398" s="85"/>
      <c r="E398" s="85"/>
      <c r="F398" s="85"/>
      <c r="G398" s="85"/>
      <c r="H398" s="85"/>
    </row>
    <row r="399" spans="4:8" ht="15.75">
      <c r="D399" s="85"/>
      <c r="E399" s="85"/>
      <c r="F399" s="85"/>
      <c r="G399" s="85"/>
      <c r="H399" s="85"/>
    </row>
    <row r="400" spans="4:8" ht="15.75">
      <c r="D400" s="85"/>
      <c r="E400" s="85"/>
      <c r="F400" s="85"/>
      <c r="G400" s="85"/>
      <c r="H400" s="85"/>
    </row>
    <row r="401" spans="4:8" ht="15.75">
      <c r="D401" s="85"/>
      <c r="E401" s="85"/>
      <c r="F401" s="85"/>
      <c r="G401" s="85"/>
      <c r="H401" s="85"/>
    </row>
    <row r="402" spans="4:8" ht="15.75">
      <c r="D402" s="85"/>
      <c r="E402" s="85"/>
      <c r="F402" s="85"/>
      <c r="G402" s="85"/>
      <c r="H402" s="85"/>
    </row>
    <row r="403" spans="4:8" ht="15.75">
      <c r="D403" s="85"/>
      <c r="E403" s="85"/>
      <c r="F403" s="85"/>
      <c r="G403" s="85"/>
      <c r="H403" s="85"/>
    </row>
    <row r="404" spans="4:8" ht="15.75">
      <c r="D404" s="85"/>
      <c r="E404" s="85"/>
      <c r="F404" s="85"/>
      <c r="G404" s="85"/>
      <c r="H404" s="85"/>
    </row>
    <row r="405" spans="4:8" ht="15.75">
      <c r="D405" s="85"/>
      <c r="E405" s="85"/>
      <c r="F405" s="85"/>
      <c r="G405" s="85"/>
      <c r="H405" s="85"/>
    </row>
    <row r="406" spans="4:8" ht="15.75">
      <c r="D406" s="85"/>
      <c r="E406" s="85"/>
      <c r="F406" s="85"/>
      <c r="G406" s="85"/>
      <c r="H406" s="85"/>
    </row>
    <row r="407" spans="4:8" ht="15.75">
      <c r="D407" s="85"/>
      <c r="E407" s="85"/>
      <c r="F407" s="85"/>
      <c r="G407" s="85"/>
      <c r="H407" s="85"/>
    </row>
    <row r="408" spans="4:8" ht="15.75">
      <c r="D408" s="85"/>
      <c r="E408" s="85"/>
      <c r="F408" s="85"/>
      <c r="G408" s="85"/>
      <c r="H408" s="85"/>
    </row>
    <row r="409" spans="4:8" ht="15.75">
      <c r="D409" s="85"/>
      <c r="E409" s="85"/>
      <c r="F409" s="85"/>
      <c r="G409" s="85"/>
      <c r="H409" s="85"/>
    </row>
    <row r="410" spans="4:8" ht="15.75">
      <c r="D410" s="85"/>
      <c r="E410" s="85"/>
      <c r="F410" s="85"/>
      <c r="G410" s="85"/>
      <c r="H410" s="85"/>
    </row>
    <row r="411" spans="4:8" ht="15.75">
      <c r="D411" s="85"/>
      <c r="E411" s="85"/>
      <c r="F411" s="85"/>
      <c r="G411" s="85"/>
      <c r="H411" s="85"/>
    </row>
    <row r="412" spans="4:8" ht="15.75">
      <c r="D412" s="85"/>
      <c r="E412" s="85"/>
      <c r="F412" s="85"/>
      <c r="G412" s="85"/>
      <c r="H412" s="85"/>
    </row>
    <row r="413" spans="4:8" ht="15.75">
      <c r="D413" s="85"/>
      <c r="E413" s="85"/>
      <c r="F413" s="85"/>
      <c r="G413" s="85"/>
      <c r="H413" s="85"/>
    </row>
    <row r="414" spans="4:8" ht="15.75">
      <c r="D414" s="85"/>
      <c r="E414" s="85"/>
      <c r="F414" s="85"/>
      <c r="G414" s="85"/>
      <c r="H414" s="85"/>
    </row>
    <row r="415" spans="4:8" ht="15.75">
      <c r="D415" s="85"/>
      <c r="E415" s="85"/>
      <c r="F415" s="85"/>
      <c r="G415" s="85"/>
      <c r="H415" s="85"/>
    </row>
    <row r="416" spans="4:8" ht="15.75">
      <c r="D416" s="85"/>
      <c r="E416" s="85"/>
      <c r="F416" s="85"/>
      <c r="G416" s="85"/>
      <c r="H416" s="85"/>
    </row>
    <row r="417" spans="4:8" ht="15.75">
      <c r="D417" s="85"/>
      <c r="E417" s="85"/>
      <c r="F417" s="85"/>
      <c r="G417" s="85"/>
      <c r="H417" s="85"/>
    </row>
    <row r="418" spans="4:8" ht="15.75">
      <c r="D418" s="85"/>
      <c r="E418" s="85"/>
      <c r="F418" s="85"/>
      <c r="G418" s="85"/>
      <c r="H418" s="85"/>
    </row>
    <row r="419" spans="4:8" ht="15.75">
      <c r="D419" s="85"/>
      <c r="E419" s="85"/>
      <c r="F419" s="85"/>
      <c r="G419" s="85"/>
      <c r="H419" s="85"/>
    </row>
    <row r="420" spans="4:8" ht="15.75">
      <c r="D420" s="85"/>
      <c r="E420" s="85"/>
      <c r="F420" s="85"/>
      <c r="G420" s="85"/>
      <c r="H420" s="85"/>
    </row>
    <row r="421" spans="4:8" ht="15.75">
      <c r="D421" s="85"/>
      <c r="E421" s="85"/>
      <c r="F421" s="85"/>
      <c r="G421" s="85"/>
      <c r="H421" s="85"/>
    </row>
    <row r="422" spans="4:8" ht="15.75">
      <c r="D422" s="85"/>
      <c r="E422" s="85"/>
      <c r="F422" s="85"/>
      <c r="G422" s="85"/>
      <c r="H422" s="85"/>
    </row>
    <row r="423" spans="4:8" ht="15.75">
      <c r="D423" s="85"/>
      <c r="E423" s="85"/>
      <c r="F423" s="85"/>
      <c r="G423" s="85"/>
      <c r="H423" s="85"/>
    </row>
    <row r="424" spans="4:8" ht="15.75">
      <c r="D424" s="85"/>
      <c r="E424" s="85"/>
      <c r="F424" s="85"/>
      <c r="G424" s="85"/>
      <c r="H424" s="85"/>
    </row>
    <row r="425" spans="4:8" ht="15.75">
      <c r="D425" s="85"/>
      <c r="E425" s="85"/>
      <c r="F425" s="85"/>
      <c r="G425" s="85"/>
      <c r="H425" s="85"/>
    </row>
    <row r="426" spans="4:8" ht="15.75">
      <c r="D426" s="85"/>
      <c r="E426" s="85"/>
      <c r="F426" s="85"/>
      <c r="G426" s="85"/>
      <c r="H426" s="85"/>
    </row>
    <row r="427" spans="4:8" ht="15.75">
      <c r="D427" s="85"/>
      <c r="E427" s="85"/>
      <c r="F427" s="85"/>
      <c r="G427" s="85"/>
      <c r="H427" s="85"/>
    </row>
    <row r="428" spans="4:8" ht="15.75">
      <c r="D428" s="85"/>
      <c r="E428" s="85"/>
      <c r="F428" s="85"/>
      <c r="G428" s="85"/>
      <c r="H428" s="85"/>
    </row>
    <row r="429" spans="4:8" ht="15.75">
      <c r="D429" s="85"/>
      <c r="E429" s="85"/>
      <c r="F429" s="85"/>
      <c r="G429" s="85"/>
      <c r="H429" s="85"/>
    </row>
    <row r="430" spans="4:8" ht="15.75">
      <c r="D430" s="85"/>
      <c r="E430" s="85"/>
      <c r="F430" s="85"/>
      <c r="G430" s="85"/>
      <c r="H430" s="85"/>
    </row>
    <row r="431" spans="4:8" ht="15.75">
      <c r="D431" s="85"/>
      <c r="E431" s="85"/>
      <c r="F431" s="85"/>
      <c r="G431" s="85"/>
      <c r="H431" s="85"/>
    </row>
    <row r="432" spans="4:8" ht="15.75">
      <c r="D432" s="85"/>
      <c r="E432" s="85"/>
      <c r="F432" s="85"/>
      <c r="G432" s="85"/>
      <c r="H432" s="85"/>
    </row>
    <row r="433" spans="4:8" ht="15.75">
      <c r="D433" s="85"/>
      <c r="E433" s="85"/>
      <c r="F433" s="85"/>
      <c r="G433" s="85"/>
      <c r="H433" s="85"/>
    </row>
    <row r="434" spans="4:8" ht="15.75">
      <c r="D434" s="85"/>
      <c r="E434" s="85"/>
      <c r="F434" s="85"/>
      <c r="G434" s="85"/>
      <c r="H434" s="85"/>
    </row>
    <row r="435" spans="4:8" ht="15.75">
      <c r="D435" s="85"/>
      <c r="E435" s="85"/>
      <c r="F435" s="85"/>
      <c r="G435" s="85"/>
      <c r="H435" s="85"/>
    </row>
    <row r="436" spans="4:8" ht="15.75">
      <c r="D436" s="85"/>
      <c r="E436" s="85"/>
      <c r="F436" s="85"/>
      <c r="G436" s="85"/>
      <c r="H436" s="85"/>
    </row>
    <row r="437" spans="4:8" ht="15.75">
      <c r="D437" s="85"/>
      <c r="E437" s="85"/>
      <c r="F437" s="85"/>
      <c r="G437" s="85"/>
      <c r="H437" s="85"/>
    </row>
    <row r="438" spans="4:8" ht="15.75">
      <c r="D438" s="85"/>
      <c r="E438" s="85"/>
      <c r="F438" s="85"/>
      <c r="G438" s="85"/>
      <c r="H438" s="85"/>
    </row>
    <row r="439" spans="4:8" ht="15.75">
      <c r="D439" s="85"/>
      <c r="E439" s="85"/>
      <c r="F439" s="85"/>
      <c r="G439" s="85"/>
      <c r="H439" s="85"/>
    </row>
    <row r="440" spans="4:8" ht="15.75">
      <c r="D440" s="85"/>
      <c r="E440" s="85"/>
      <c r="F440" s="85"/>
      <c r="G440" s="85"/>
      <c r="H440" s="85"/>
    </row>
    <row r="441" spans="4:8" ht="15.75">
      <c r="D441" s="85"/>
      <c r="E441" s="85"/>
      <c r="F441" s="85"/>
      <c r="G441" s="85"/>
      <c r="H441" s="85"/>
    </row>
    <row r="442" spans="4:8" ht="15.75">
      <c r="D442" s="85"/>
      <c r="E442" s="85"/>
      <c r="F442" s="85"/>
      <c r="G442" s="85"/>
      <c r="H442" s="85"/>
    </row>
    <row r="443" spans="4:8" ht="15.75">
      <c r="D443" s="85"/>
      <c r="E443" s="85"/>
      <c r="F443" s="85"/>
      <c r="G443" s="85"/>
      <c r="H443" s="85"/>
    </row>
    <row r="444" spans="4:8" ht="15.75">
      <c r="D444" s="85"/>
      <c r="E444" s="85"/>
      <c r="F444" s="85"/>
      <c r="G444" s="85"/>
      <c r="H444" s="85"/>
    </row>
    <row r="445" spans="4:8" ht="15.75">
      <c r="D445" s="85"/>
      <c r="E445" s="85"/>
      <c r="F445" s="85"/>
      <c r="G445" s="85"/>
      <c r="H445" s="85"/>
    </row>
    <row r="446" spans="4:8" ht="15.75">
      <c r="D446" s="85"/>
      <c r="E446" s="85"/>
      <c r="F446" s="85"/>
      <c r="G446" s="85"/>
      <c r="H446" s="85"/>
    </row>
    <row r="447" spans="4:8" ht="15.75">
      <c r="D447" s="85"/>
      <c r="E447" s="85"/>
      <c r="F447" s="85"/>
      <c r="G447" s="85"/>
      <c r="H447" s="85"/>
    </row>
    <row r="448" spans="4:8" ht="15.75">
      <c r="D448" s="85"/>
      <c r="E448" s="85"/>
      <c r="F448" s="85"/>
      <c r="G448" s="85"/>
      <c r="H448" s="85"/>
    </row>
    <row r="449" spans="4:8" ht="15.75">
      <c r="D449" s="85"/>
      <c r="E449" s="85"/>
      <c r="F449" s="85"/>
      <c r="G449" s="85"/>
      <c r="H449" s="85"/>
    </row>
    <row r="450" spans="4:8" ht="15.75">
      <c r="D450" s="85"/>
      <c r="E450" s="85"/>
      <c r="F450" s="85"/>
      <c r="G450" s="85"/>
      <c r="H450" s="85"/>
    </row>
    <row r="451" spans="4:8" ht="15.75">
      <c r="D451" s="85"/>
      <c r="E451" s="85"/>
      <c r="F451" s="85"/>
      <c r="G451" s="85"/>
      <c r="H451" s="85"/>
    </row>
    <row r="452" spans="4:8" ht="15.75">
      <c r="D452" s="85"/>
      <c r="E452" s="85"/>
      <c r="F452" s="85"/>
      <c r="G452" s="85"/>
      <c r="H452" s="85"/>
    </row>
    <row r="453" spans="4:8" ht="15.75">
      <c r="D453" s="85"/>
      <c r="E453" s="85"/>
      <c r="F453" s="85"/>
      <c r="G453" s="85"/>
      <c r="H453" s="85"/>
    </row>
    <row r="454" spans="4:8" ht="15.75">
      <c r="D454" s="85"/>
      <c r="E454" s="85"/>
      <c r="F454" s="85"/>
      <c r="G454" s="85"/>
      <c r="H454" s="85"/>
    </row>
    <row r="455" spans="4:8" ht="15.75">
      <c r="D455" s="85"/>
      <c r="E455" s="85"/>
      <c r="F455" s="85"/>
      <c r="G455" s="85"/>
      <c r="H455" s="85"/>
    </row>
    <row r="456" spans="4:8" ht="15.75">
      <c r="D456" s="85"/>
      <c r="E456" s="85"/>
      <c r="F456" s="85"/>
      <c r="G456" s="85"/>
      <c r="H456" s="85"/>
    </row>
    <row r="457" spans="4:8" ht="15.75">
      <c r="D457" s="85"/>
      <c r="E457" s="85"/>
      <c r="F457" s="85"/>
      <c r="G457" s="85"/>
      <c r="H457" s="85"/>
    </row>
    <row r="458" spans="4:8" ht="15.75">
      <c r="D458" s="85"/>
      <c r="E458" s="85"/>
      <c r="F458" s="85"/>
      <c r="G458" s="85"/>
      <c r="H458" s="85"/>
    </row>
    <row r="459" spans="4:8" ht="15.75">
      <c r="D459" s="85"/>
      <c r="E459" s="85"/>
      <c r="F459" s="85"/>
      <c r="G459" s="85"/>
      <c r="H459" s="85"/>
    </row>
    <row r="460" spans="4:8" ht="15.75">
      <c r="D460" s="85"/>
      <c r="E460" s="85"/>
      <c r="F460" s="85"/>
      <c r="G460" s="85"/>
      <c r="H460" s="85"/>
    </row>
    <row r="461" spans="4:8" ht="15.75">
      <c r="D461" s="85"/>
      <c r="E461" s="85"/>
      <c r="F461" s="85"/>
      <c r="G461" s="85"/>
      <c r="H461" s="85"/>
    </row>
    <row r="462" spans="4:8" ht="15.75">
      <c r="D462" s="85"/>
      <c r="E462" s="85"/>
      <c r="F462" s="85"/>
      <c r="G462" s="85"/>
      <c r="H462" s="85"/>
    </row>
    <row r="463" spans="4:8" ht="15.75">
      <c r="D463" s="85"/>
      <c r="E463" s="85"/>
      <c r="F463" s="85"/>
      <c r="G463" s="85"/>
      <c r="H463" s="85"/>
    </row>
    <row r="464" spans="4:8" ht="15.75">
      <c r="D464" s="85"/>
      <c r="E464" s="85"/>
      <c r="F464" s="85"/>
      <c r="G464" s="85"/>
      <c r="H464" s="85"/>
    </row>
    <row r="465" spans="4:8" ht="15.75">
      <c r="D465" s="85"/>
      <c r="E465" s="85"/>
      <c r="F465" s="85"/>
      <c r="G465" s="85"/>
      <c r="H465" s="85"/>
    </row>
    <row r="466" spans="4:8" ht="15.75">
      <c r="D466" s="85"/>
      <c r="E466" s="85"/>
      <c r="F466" s="85"/>
      <c r="G466" s="85"/>
      <c r="H466" s="85"/>
    </row>
    <row r="467" spans="4:8" ht="15.75">
      <c r="D467" s="85"/>
      <c r="E467" s="85"/>
      <c r="F467" s="85"/>
      <c r="G467" s="85"/>
      <c r="H467" s="85"/>
    </row>
    <row r="468" spans="4:8" ht="15.75">
      <c r="D468" s="85"/>
      <c r="E468" s="85"/>
      <c r="F468" s="85"/>
      <c r="G468" s="85"/>
      <c r="H468" s="85"/>
    </row>
    <row r="469" spans="4:8" ht="15.75">
      <c r="D469" s="85"/>
      <c r="E469" s="85"/>
      <c r="F469" s="85"/>
      <c r="G469" s="85"/>
      <c r="H469" s="85"/>
    </row>
    <row r="470" spans="4:8" ht="15.75">
      <c r="D470" s="85"/>
      <c r="E470" s="85"/>
      <c r="F470" s="85"/>
      <c r="G470" s="85"/>
      <c r="H470" s="85"/>
    </row>
    <row r="471" spans="4:8" ht="15.75">
      <c r="D471" s="85"/>
      <c r="E471" s="85"/>
      <c r="F471" s="85"/>
      <c r="G471" s="85"/>
      <c r="H471" s="85"/>
    </row>
    <row r="472" spans="4:8" ht="15.75">
      <c r="D472" s="85"/>
      <c r="E472" s="85"/>
      <c r="F472" s="85"/>
      <c r="G472" s="85"/>
      <c r="H472" s="85"/>
    </row>
    <row r="473" spans="4:8" ht="15.75">
      <c r="D473" s="85"/>
      <c r="E473" s="85"/>
      <c r="F473" s="85"/>
      <c r="G473" s="85"/>
      <c r="H473" s="85"/>
    </row>
    <row r="474" spans="4:8" ht="15.75">
      <c r="D474" s="85"/>
      <c r="E474" s="85"/>
      <c r="F474" s="85"/>
      <c r="G474" s="85"/>
      <c r="H474" s="85"/>
    </row>
    <row r="475" spans="4:8" ht="15.75">
      <c r="D475" s="85"/>
      <c r="E475" s="85"/>
      <c r="F475" s="85"/>
      <c r="G475" s="85"/>
      <c r="H475" s="85"/>
    </row>
    <row r="476" spans="4:8" ht="15.75">
      <c r="D476" s="85"/>
      <c r="E476" s="85"/>
      <c r="F476" s="85"/>
      <c r="G476" s="85"/>
      <c r="H476" s="85"/>
    </row>
    <row r="477" spans="4:8" ht="15.75">
      <c r="D477" s="85"/>
      <c r="E477" s="85"/>
      <c r="F477" s="85"/>
      <c r="G477" s="85"/>
      <c r="H477" s="85"/>
    </row>
    <row r="478" spans="4:8" ht="15.75">
      <c r="D478" s="85"/>
      <c r="E478" s="85"/>
      <c r="F478" s="85"/>
      <c r="G478" s="85"/>
      <c r="H478" s="85"/>
    </row>
    <row r="479" spans="4:8" ht="15.75">
      <c r="D479" s="85"/>
      <c r="E479" s="85"/>
      <c r="F479" s="85"/>
      <c r="G479" s="85"/>
      <c r="H479" s="85"/>
    </row>
    <row r="480" spans="4:8" ht="15.75">
      <c r="D480" s="85"/>
      <c r="E480" s="85"/>
      <c r="F480" s="85"/>
      <c r="G480" s="85"/>
      <c r="H480" s="85"/>
    </row>
    <row r="481" spans="4:8" ht="15.75">
      <c r="D481" s="85"/>
      <c r="E481" s="85"/>
      <c r="F481" s="85"/>
      <c r="G481" s="85"/>
      <c r="H481" s="85"/>
    </row>
    <row r="482" spans="4:8" ht="15.75">
      <c r="D482" s="85"/>
      <c r="E482" s="85"/>
      <c r="F482" s="85"/>
      <c r="G482" s="85"/>
      <c r="H482" s="85"/>
    </row>
    <row r="483" spans="4:8" ht="15.75">
      <c r="D483" s="85"/>
      <c r="E483" s="85"/>
      <c r="F483" s="85"/>
      <c r="G483" s="85"/>
      <c r="H483" s="85"/>
    </row>
    <row r="484" spans="4:8" ht="15.75">
      <c r="D484" s="85"/>
      <c r="E484" s="85"/>
      <c r="F484" s="85"/>
      <c r="G484" s="85"/>
      <c r="H484" s="85"/>
    </row>
    <row r="485" spans="4:8" ht="15.75">
      <c r="D485" s="85"/>
      <c r="E485" s="85"/>
      <c r="F485" s="85"/>
      <c r="G485" s="85"/>
      <c r="H485" s="85"/>
    </row>
    <row r="486" spans="4:8" ht="15.75">
      <c r="D486" s="85"/>
      <c r="E486" s="85"/>
      <c r="F486" s="85"/>
      <c r="G486" s="85"/>
      <c r="H486" s="85"/>
    </row>
    <row r="487" spans="4:8" ht="15.75">
      <c r="D487" s="85"/>
      <c r="E487" s="85"/>
      <c r="F487" s="85"/>
      <c r="G487" s="85"/>
      <c r="H487" s="85"/>
    </row>
    <row r="488" spans="4:8" ht="15.75">
      <c r="D488" s="85"/>
      <c r="E488" s="85"/>
      <c r="F488" s="85"/>
      <c r="G488" s="85"/>
      <c r="H488" s="85"/>
    </row>
    <row r="489" spans="4:8" ht="15.75">
      <c r="D489" s="85"/>
      <c r="E489" s="85"/>
      <c r="F489" s="85"/>
      <c r="G489" s="85"/>
      <c r="H489" s="85"/>
    </row>
    <row r="490" spans="4:8" ht="15.75">
      <c r="D490" s="85"/>
      <c r="E490" s="85"/>
      <c r="F490" s="85"/>
      <c r="G490" s="85"/>
      <c r="H490" s="85"/>
    </row>
    <row r="491" spans="4:8" ht="15.75">
      <c r="D491" s="85"/>
      <c r="E491" s="85"/>
      <c r="F491" s="85"/>
      <c r="G491" s="85"/>
      <c r="H491" s="85"/>
    </row>
    <row r="492" spans="4:8" ht="15.75">
      <c r="D492" s="85"/>
      <c r="E492" s="85"/>
      <c r="F492" s="85"/>
      <c r="G492" s="85"/>
      <c r="H492" s="85"/>
    </row>
    <row r="493" spans="4:8" ht="15.75">
      <c r="D493" s="85"/>
      <c r="E493" s="85"/>
      <c r="F493" s="85"/>
      <c r="G493" s="85"/>
      <c r="H493" s="85"/>
    </row>
    <row r="494" spans="4:8" ht="15.75">
      <c r="D494" s="85"/>
      <c r="E494" s="85"/>
      <c r="F494" s="85"/>
      <c r="G494" s="85"/>
      <c r="H494" s="85"/>
    </row>
    <row r="495" spans="4:8" ht="15.75">
      <c r="D495" s="85"/>
      <c r="E495" s="85"/>
      <c r="F495" s="85"/>
      <c r="G495" s="85"/>
      <c r="H495" s="85"/>
    </row>
    <row r="496" spans="4:8" ht="15.75">
      <c r="D496" s="85"/>
      <c r="E496" s="85"/>
      <c r="F496" s="85"/>
      <c r="G496" s="85"/>
      <c r="H496" s="85"/>
    </row>
    <row r="497" spans="4:8" ht="15.75">
      <c r="D497" s="85"/>
      <c r="E497" s="85"/>
      <c r="F497" s="85"/>
      <c r="G497" s="85"/>
      <c r="H497" s="85"/>
    </row>
    <row r="498" spans="4:8" ht="15.75">
      <c r="D498" s="85"/>
      <c r="E498" s="85"/>
      <c r="F498" s="85"/>
      <c r="G498" s="85"/>
      <c r="H498" s="85"/>
    </row>
    <row r="499" spans="4:8" ht="15.75">
      <c r="D499" s="85"/>
      <c r="E499" s="85"/>
      <c r="F499" s="85"/>
      <c r="G499" s="85"/>
      <c r="H499" s="85"/>
    </row>
    <row r="500" spans="4:8" ht="15.75">
      <c r="D500" s="85"/>
      <c r="E500" s="85"/>
      <c r="F500" s="85"/>
      <c r="G500" s="85"/>
      <c r="H500" s="85"/>
    </row>
    <row r="501" spans="4:8" ht="15.75">
      <c r="D501" s="85"/>
      <c r="E501" s="85"/>
      <c r="F501" s="85"/>
      <c r="G501" s="85"/>
      <c r="H501" s="85"/>
    </row>
    <row r="502" spans="4:8" ht="15.75">
      <c r="D502" s="85"/>
      <c r="E502" s="85"/>
      <c r="F502" s="85"/>
      <c r="G502" s="85"/>
      <c r="H502" s="85"/>
    </row>
    <row r="503" spans="4:8" ht="15.75">
      <c r="D503" s="85"/>
      <c r="E503" s="85"/>
      <c r="F503" s="85"/>
      <c r="G503" s="85"/>
      <c r="H503" s="85"/>
    </row>
    <row r="504" spans="4:8" ht="15.75">
      <c r="D504" s="85"/>
      <c r="E504" s="85"/>
      <c r="F504" s="85"/>
      <c r="G504" s="85"/>
      <c r="H504" s="85"/>
    </row>
    <row r="505" spans="4:8" ht="15.75">
      <c r="D505" s="85"/>
      <c r="E505" s="85"/>
      <c r="F505" s="85"/>
      <c r="G505" s="85"/>
      <c r="H505" s="85"/>
    </row>
    <row r="506" spans="4:8" ht="15.75">
      <c r="D506" s="85"/>
      <c r="E506" s="85"/>
      <c r="F506" s="85"/>
      <c r="G506" s="85"/>
      <c r="H506" s="85"/>
    </row>
    <row r="507" spans="4:8" ht="15.75">
      <c r="D507" s="85"/>
      <c r="E507" s="85"/>
      <c r="F507" s="85"/>
      <c r="G507" s="85"/>
      <c r="H507" s="85"/>
    </row>
    <row r="508" spans="4:8" ht="15.75">
      <c r="D508" s="85"/>
      <c r="E508" s="85"/>
      <c r="F508" s="85"/>
      <c r="G508" s="85"/>
      <c r="H508" s="85"/>
    </row>
    <row r="509" spans="4:8" ht="15.75">
      <c r="D509" s="85"/>
      <c r="E509" s="85"/>
      <c r="F509" s="85"/>
      <c r="G509" s="85"/>
      <c r="H509" s="85"/>
    </row>
    <row r="510" spans="4:8" ht="15.75">
      <c r="D510" s="85"/>
      <c r="E510" s="85"/>
      <c r="F510" s="85"/>
      <c r="G510" s="85"/>
      <c r="H510" s="85"/>
    </row>
    <row r="511" spans="4:8" ht="15.75">
      <c r="D511" s="85"/>
      <c r="E511" s="85"/>
      <c r="F511" s="85"/>
      <c r="G511" s="85"/>
      <c r="H511" s="85"/>
    </row>
    <row r="512" spans="4:8" ht="15.75">
      <c r="D512" s="85"/>
      <c r="E512" s="85"/>
      <c r="F512" s="85"/>
      <c r="G512" s="85"/>
      <c r="H512" s="85"/>
    </row>
    <row r="513" spans="4:8" ht="15.75">
      <c r="D513" s="85"/>
      <c r="E513" s="85"/>
      <c r="F513" s="85"/>
      <c r="G513" s="85"/>
      <c r="H513" s="85"/>
    </row>
    <row r="514" spans="4:8" ht="15.75">
      <c r="D514" s="85"/>
      <c r="E514" s="85"/>
      <c r="F514" s="85"/>
      <c r="G514" s="85"/>
      <c r="H514" s="85"/>
    </row>
    <row r="515" spans="4:8" ht="15.75">
      <c r="D515" s="85"/>
      <c r="E515" s="85"/>
      <c r="F515" s="85"/>
      <c r="G515" s="85"/>
      <c r="H515" s="85"/>
    </row>
    <row r="516" spans="4:8" ht="15.75">
      <c r="D516" s="85"/>
      <c r="E516" s="85"/>
      <c r="F516" s="85"/>
      <c r="G516" s="85"/>
      <c r="H516" s="85"/>
    </row>
    <row r="517" spans="4:8" ht="15.75">
      <c r="D517" s="85"/>
      <c r="E517" s="85"/>
      <c r="F517" s="85"/>
      <c r="G517" s="85"/>
      <c r="H517" s="85"/>
    </row>
    <row r="518" spans="4:8" ht="15.75">
      <c r="D518" s="85"/>
      <c r="E518" s="85"/>
      <c r="F518" s="85"/>
      <c r="G518" s="85"/>
      <c r="H518" s="85"/>
    </row>
    <row r="519" spans="4:8" ht="15.75">
      <c r="D519" s="85"/>
      <c r="E519" s="85"/>
      <c r="F519" s="85"/>
      <c r="G519" s="85"/>
      <c r="H519" s="85"/>
    </row>
    <row r="520" spans="4:8" ht="15.75">
      <c r="D520" s="85"/>
      <c r="E520" s="85"/>
      <c r="F520" s="85"/>
      <c r="G520" s="85"/>
      <c r="H520" s="85"/>
    </row>
    <row r="521" spans="4:8" ht="15.75">
      <c r="D521" s="85"/>
      <c r="E521" s="85"/>
      <c r="F521" s="85"/>
      <c r="G521" s="85"/>
      <c r="H521" s="85"/>
    </row>
    <row r="522" spans="4:8" ht="15.75">
      <c r="D522" s="85"/>
      <c r="E522" s="85"/>
      <c r="F522" s="85"/>
      <c r="G522" s="85"/>
      <c r="H522" s="85"/>
    </row>
    <row r="523" spans="4:8" ht="15.75">
      <c r="D523" s="85"/>
      <c r="E523" s="85"/>
      <c r="F523" s="85"/>
      <c r="G523" s="85"/>
      <c r="H523" s="85"/>
    </row>
    <row r="524" spans="4:8" ht="15.75">
      <c r="D524" s="85"/>
      <c r="E524" s="85"/>
      <c r="F524" s="85"/>
      <c r="G524" s="85"/>
      <c r="H524" s="85"/>
    </row>
    <row r="525" spans="4:8" ht="15.75">
      <c r="D525" s="85"/>
      <c r="E525" s="85"/>
      <c r="F525" s="85"/>
      <c r="G525" s="85"/>
      <c r="H525" s="85"/>
    </row>
    <row r="526" spans="4:8" ht="15.75">
      <c r="D526" s="85"/>
      <c r="E526" s="85"/>
      <c r="F526" s="85"/>
      <c r="G526" s="85"/>
      <c r="H526" s="85"/>
    </row>
    <row r="527" spans="4:8" ht="15.75">
      <c r="D527" s="85"/>
      <c r="E527" s="85"/>
      <c r="F527" s="85"/>
      <c r="G527" s="85"/>
      <c r="H527" s="85"/>
    </row>
    <row r="528" spans="4:8" ht="15.75">
      <c r="D528" s="85"/>
      <c r="E528" s="85"/>
      <c r="F528" s="85"/>
      <c r="G528" s="85"/>
      <c r="H528" s="85"/>
    </row>
    <row r="529" spans="4:8" ht="15.75">
      <c r="D529" s="85"/>
      <c r="E529" s="85"/>
      <c r="F529" s="85"/>
      <c r="G529" s="85"/>
      <c r="H529" s="85"/>
    </row>
    <row r="530" spans="4:8" ht="15.75">
      <c r="D530" s="85"/>
      <c r="E530" s="85"/>
      <c r="F530" s="85"/>
      <c r="G530" s="85"/>
      <c r="H530" s="85"/>
    </row>
    <row r="531" spans="4:8" ht="15.75">
      <c r="D531" s="85"/>
      <c r="E531" s="85"/>
      <c r="F531" s="85"/>
      <c r="G531" s="85"/>
      <c r="H531" s="85"/>
    </row>
    <row r="532" spans="4:8" ht="15.75">
      <c r="D532" s="85"/>
      <c r="E532" s="85"/>
      <c r="F532" s="85"/>
      <c r="G532" s="85"/>
      <c r="H532" s="85"/>
    </row>
    <row r="533" spans="4:8" ht="15.75">
      <c r="D533" s="85"/>
      <c r="E533" s="85"/>
      <c r="F533" s="85"/>
      <c r="G533" s="85"/>
      <c r="H533" s="85"/>
    </row>
    <row r="534" spans="4:8" ht="15.75">
      <c r="D534" s="85"/>
      <c r="E534" s="85"/>
      <c r="F534" s="85"/>
      <c r="G534" s="85"/>
      <c r="H534" s="85"/>
    </row>
    <row r="535" spans="4:8" ht="15.75">
      <c r="D535" s="85"/>
      <c r="E535" s="85"/>
      <c r="F535" s="85"/>
      <c r="G535" s="85"/>
      <c r="H535" s="85"/>
    </row>
    <row r="536" spans="4:8" ht="15.75">
      <c r="D536" s="85"/>
      <c r="E536" s="85"/>
      <c r="F536" s="85"/>
      <c r="G536" s="85"/>
      <c r="H536" s="85"/>
    </row>
    <row r="537" spans="4:8" ht="15.75">
      <c r="D537" s="85"/>
      <c r="E537" s="85"/>
      <c r="F537" s="85"/>
      <c r="G537" s="85"/>
      <c r="H537" s="85"/>
    </row>
    <row r="538" spans="4:8" ht="15.75">
      <c r="D538" s="85"/>
      <c r="E538" s="85"/>
      <c r="F538" s="85"/>
      <c r="G538" s="85"/>
      <c r="H538" s="85"/>
    </row>
    <row r="539" spans="4:8" ht="15.75">
      <c r="D539" s="85"/>
      <c r="E539" s="85"/>
      <c r="F539" s="85"/>
      <c r="G539" s="85"/>
      <c r="H539" s="85"/>
    </row>
    <row r="540" spans="4:8" ht="15.75">
      <c r="D540" s="85"/>
      <c r="E540" s="85"/>
      <c r="F540" s="85"/>
      <c r="G540" s="85"/>
      <c r="H540" s="85"/>
    </row>
    <row r="541" spans="4:8" ht="15.75">
      <c r="D541" s="85"/>
      <c r="E541" s="85"/>
      <c r="F541" s="85"/>
      <c r="G541" s="85"/>
      <c r="H541" s="85"/>
    </row>
    <row r="542" spans="4:8" ht="15.75">
      <c r="D542" s="85"/>
      <c r="E542" s="85"/>
      <c r="F542" s="85"/>
      <c r="G542" s="85"/>
      <c r="H542" s="85"/>
    </row>
    <row r="543" spans="4:8" ht="15.75">
      <c r="D543" s="85"/>
      <c r="E543" s="85"/>
      <c r="F543" s="85"/>
      <c r="G543" s="85"/>
      <c r="H543" s="85"/>
    </row>
    <row r="544" spans="4:8" ht="15.75">
      <c r="D544" s="85"/>
      <c r="E544" s="85"/>
      <c r="F544" s="85"/>
      <c r="G544" s="85"/>
      <c r="H544" s="85"/>
    </row>
    <row r="545" spans="4:8" ht="15.75">
      <c r="D545" s="85"/>
      <c r="E545" s="85"/>
      <c r="F545" s="85"/>
      <c r="G545" s="85"/>
      <c r="H545" s="85"/>
    </row>
    <row r="546" spans="4:8" ht="15.75">
      <c r="D546" s="85"/>
      <c r="E546" s="85"/>
      <c r="F546" s="85"/>
      <c r="G546" s="85"/>
      <c r="H546" s="85"/>
    </row>
    <row r="547" spans="4:8" ht="15.75">
      <c r="D547" s="85"/>
      <c r="E547" s="85"/>
      <c r="F547" s="85"/>
      <c r="G547" s="85"/>
      <c r="H547" s="85"/>
    </row>
    <row r="548" spans="4:8" ht="15.75">
      <c r="D548" s="85"/>
      <c r="E548" s="85"/>
      <c r="F548" s="85"/>
      <c r="G548" s="85"/>
      <c r="H548" s="85"/>
    </row>
    <row r="549" spans="4:8" ht="15.75">
      <c r="D549" s="85"/>
      <c r="E549" s="85"/>
      <c r="F549" s="85"/>
      <c r="G549" s="85"/>
      <c r="H549" s="85"/>
    </row>
    <row r="550" spans="4:8" ht="15.75">
      <c r="D550" s="85"/>
      <c r="E550" s="85"/>
      <c r="F550" s="85"/>
      <c r="G550" s="85"/>
      <c r="H550" s="85"/>
    </row>
    <row r="551" spans="4:8" ht="15.75">
      <c r="D551" s="85"/>
      <c r="E551" s="85"/>
      <c r="F551" s="85"/>
      <c r="G551" s="85"/>
      <c r="H551" s="85"/>
    </row>
    <row r="552" spans="4:8" ht="15.75">
      <c r="D552" s="85"/>
      <c r="E552" s="85"/>
      <c r="F552" s="85"/>
      <c r="G552" s="85"/>
      <c r="H552" s="85"/>
    </row>
    <row r="553" spans="4:8" ht="15.75">
      <c r="D553" s="85"/>
      <c r="E553" s="85"/>
      <c r="F553" s="85"/>
      <c r="G553" s="85"/>
      <c r="H553" s="85"/>
    </row>
    <row r="554" spans="4:8" ht="15.75">
      <c r="D554" s="85"/>
      <c r="E554" s="85"/>
      <c r="F554" s="85"/>
      <c r="G554" s="85"/>
      <c r="H554" s="85"/>
    </row>
    <row r="555" spans="4:8" ht="15.75">
      <c r="D555" s="85"/>
      <c r="E555" s="85"/>
      <c r="F555" s="85"/>
      <c r="G555" s="85"/>
      <c r="H555" s="85"/>
    </row>
    <row r="556" spans="4:8" ht="15.75">
      <c r="D556" s="85"/>
      <c r="E556" s="85"/>
      <c r="F556" s="85"/>
      <c r="G556" s="85"/>
      <c r="H556" s="85"/>
    </row>
    <row r="557" spans="4:8" ht="15.75">
      <c r="D557" s="85"/>
      <c r="E557" s="85"/>
      <c r="F557" s="85"/>
      <c r="G557" s="85"/>
      <c r="H557" s="85"/>
    </row>
    <row r="558" spans="4:8" ht="15.75">
      <c r="D558" s="85"/>
      <c r="E558" s="85"/>
      <c r="F558" s="85"/>
      <c r="G558" s="85"/>
      <c r="H558" s="85"/>
    </row>
    <row r="559" spans="4:8" ht="15.75">
      <c r="D559" s="85"/>
      <c r="E559" s="85"/>
      <c r="F559" s="85"/>
      <c r="G559" s="85"/>
      <c r="H559" s="85"/>
    </row>
    <row r="560" spans="4:8" ht="15.75">
      <c r="D560" s="85"/>
      <c r="E560" s="85"/>
      <c r="F560" s="85"/>
      <c r="G560" s="85"/>
      <c r="H560" s="85"/>
    </row>
    <row r="561" spans="4:8" ht="15.75">
      <c r="D561" s="85"/>
      <c r="E561" s="85"/>
      <c r="F561" s="85"/>
      <c r="G561" s="85"/>
      <c r="H561" s="85"/>
    </row>
    <row r="562" spans="4:8" ht="15.75">
      <c r="D562" s="85"/>
      <c r="E562" s="85"/>
      <c r="F562" s="85"/>
      <c r="G562" s="85"/>
      <c r="H562" s="85"/>
    </row>
    <row r="563" spans="4:8" ht="15.75">
      <c r="D563" s="85"/>
      <c r="E563" s="85"/>
      <c r="F563" s="85"/>
      <c r="G563" s="85"/>
      <c r="H563" s="85"/>
    </row>
    <row r="564" spans="4:8" ht="15.75">
      <c r="D564" s="85"/>
      <c r="E564" s="85"/>
      <c r="F564" s="85"/>
      <c r="G564" s="85"/>
      <c r="H564" s="85"/>
    </row>
    <row r="565" spans="4:8" ht="15.75">
      <c r="D565" s="85"/>
      <c r="E565" s="85"/>
      <c r="F565" s="85"/>
      <c r="G565" s="85"/>
      <c r="H565" s="85"/>
    </row>
    <row r="566" spans="4:8" ht="15.75">
      <c r="D566" s="85"/>
      <c r="E566" s="85"/>
      <c r="F566" s="85"/>
      <c r="G566" s="85"/>
      <c r="H566" s="85"/>
    </row>
    <row r="567" spans="4:8" ht="15.75">
      <c r="D567" s="85"/>
      <c r="E567" s="85"/>
      <c r="F567" s="85"/>
      <c r="G567" s="85"/>
      <c r="H567" s="85"/>
    </row>
    <row r="568" spans="4:8" ht="15.75">
      <c r="D568" s="85"/>
      <c r="E568" s="85"/>
      <c r="F568" s="85"/>
      <c r="G568" s="85"/>
      <c r="H568" s="85"/>
    </row>
    <row r="569" spans="4:8" ht="15.75">
      <c r="D569" s="85"/>
      <c r="E569" s="85"/>
      <c r="F569" s="85"/>
      <c r="G569" s="85"/>
      <c r="H569" s="85"/>
    </row>
    <row r="570" spans="4:8" ht="15.75">
      <c r="D570" s="85"/>
      <c r="E570" s="85"/>
      <c r="F570" s="85"/>
      <c r="G570" s="85"/>
      <c r="H570" s="85"/>
    </row>
    <row r="571" spans="4:8" ht="15.75">
      <c r="D571" s="85"/>
      <c r="E571" s="85"/>
      <c r="F571" s="85"/>
      <c r="G571" s="85"/>
      <c r="H571" s="85"/>
    </row>
    <row r="572" spans="4:8" ht="15.75">
      <c r="D572" s="85"/>
      <c r="E572" s="85"/>
      <c r="F572" s="85"/>
      <c r="G572" s="85"/>
      <c r="H572" s="85"/>
    </row>
    <row r="573" spans="4:8" ht="15.75">
      <c r="D573" s="85"/>
      <c r="E573" s="85"/>
      <c r="F573" s="85"/>
      <c r="G573" s="85"/>
      <c r="H573" s="85"/>
    </row>
    <row r="574" spans="4:8" ht="15.75">
      <c r="D574" s="85"/>
      <c r="E574" s="85"/>
      <c r="F574" s="85"/>
      <c r="G574" s="85"/>
      <c r="H574" s="85"/>
    </row>
    <row r="575" spans="4:8" ht="15.75">
      <c r="D575" s="85"/>
      <c r="E575" s="85"/>
      <c r="F575" s="85"/>
      <c r="G575" s="85"/>
      <c r="H575" s="85"/>
    </row>
    <row r="576" spans="4:8" ht="15.75">
      <c r="D576" s="85"/>
      <c r="E576" s="85"/>
      <c r="F576" s="85"/>
      <c r="G576" s="85"/>
      <c r="H576" s="85"/>
    </row>
    <row r="577" spans="4:8" ht="15.75">
      <c r="D577" s="85"/>
      <c r="E577" s="85"/>
      <c r="F577" s="85"/>
      <c r="G577" s="85"/>
      <c r="H577" s="85"/>
    </row>
    <row r="578" spans="4:8" ht="15.75">
      <c r="D578" s="85"/>
      <c r="E578" s="85"/>
      <c r="F578" s="85"/>
      <c r="G578" s="85"/>
      <c r="H578" s="85"/>
    </row>
    <row r="579" spans="4:8" ht="15.75">
      <c r="D579" s="85"/>
      <c r="E579" s="85"/>
      <c r="F579" s="85"/>
      <c r="G579" s="85"/>
      <c r="H579" s="85"/>
    </row>
    <row r="580" spans="4:8" ht="15.75">
      <c r="D580" s="85"/>
      <c r="E580" s="85"/>
      <c r="F580" s="85"/>
      <c r="G580" s="85"/>
      <c r="H580" s="85"/>
    </row>
    <row r="581" spans="4:8" ht="15.75">
      <c r="D581" s="85"/>
      <c r="E581" s="85"/>
      <c r="F581" s="85"/>
      <c r="G581" s="85"/>
      <c r="H581" s="85"/>
    </row>
    <row r="582" spans="4:8" ht="15.75">
      <c r="D582" s="85"/>
      <c r="E582" s="85"/>
      <c r="F582" s="85"/>
      <c r="G582" s="85"/>
      <c r="H582" s="85"/>
    </row>
    <row r="583" spans="4:8" ht="15.75">
      <c r="D583" s="85"/>
      <c r="E583" s="85"/>
      <c r="F583" s="85"/>
      <c r="G583" s="85"/>
      <c r="H583" s="85"/>
    </row>
    <row r="584" spans="4:8" ht="15.75">
      <c r="D584" s="85"/>
      <c r="E584" s="85"/>
      <c r="F584" s="85"/>
      <c r="G584" s="85"/>
      <c r="H584" s="85"/>
    </row>
    <row r="585" spans="4:8" ht="15.75">
      <c r="D585" s="85"/>
      <c r="E585" s="85"/>
      <c r="F585" s="85"/>
      <c r="G585" s="85"/>
      <c r="H585" s="85"/>
    </row>
    <row r="586" spans="4:8" ht="15.75">
      <c r="D586" s="85"/>
      <c r="E586" s="85"/>
      <c r="F586" s="85"/>
      <c r="G586" s="85"/>
      <c r="H586" s="85"/>
    </row>
    <row r="587" spans="4:8" ht="15.75">
      <c r="D587" s="85"/>
      <c r="E587" s="85"/>
      <c r="F587" s="85"/>
      <c r="G587" s="85"/>
      <c r="H587" s="85"/>
    </row>
    <row r="588" spans="4:8" ht="15.75">
      <c r="D588" s="85"/>
      <c r="E588" s="85"/>
      <c r="F588" s="85"/>
      <c r="G588" s="85"/>
      <c r="H588" s="85"/>
    </row>
    <row r="589" spans="4:8" ht="15.75">
      <c r="D589" s="85"/>
      <c r="E589" s="85"/>
      <c r="F589" s="85"/>
      <c r="G589" s="85"/>
      <c r="H589" s="85"/>
    </row>
    <row r="590" spans="4:8" ht="15.75">
      <c r="D590" s="85"/>
      <c r="E590" s="85"/>
      <c r="F590" s="85"/>
      <c r="G590" s="85"/>
      <c r="H590" s="85"/>
    </row>
    <row r="591" spans="4:8" ht="15.75">
      <c r="D591" s="85"/>
      <c r="E591" s="85"/>
      <c r="F591" s="85"/>
      <c r="G591" s="85"/>
      <c r="H591" s="85"/>
    </row>
    <row r="592" spans="4:8" ht="15.75">
      <c r="D592" s="85"/>
      <c r="E592" s="85"/>
      <c r="F592" s="85"/>
      <c r="G592" s="85"/>
      <c r="H592" s="85"/>
    </row>
    <row r="593" spans="4:8" ht="15.75">
      <c r="D593" s="85"/>
      <c r="E593" s="85"/>
      <c r="F593" s="85"/>
      <c r="G593" s="85"/>
      <c r="H593" s="85"/>
    </row>
    <row r="594" spans="4:8" ht="15.75">
      <c r="D594" s="85"/>
      <c r="E594" s="85"/>
      <c r="F594" s="85"/>
      <c r="G594" s="85"/>
      <c r="H594" s="85"/>
    </row>
    <row r="595" spans="4:8" ht="15.75">
      <c r="D595" s="85"/>
      <c r="E595" s="85"/>
      <c r="F595" s="85"/>
      <c r="G595" s="85"/>
      <c r="H595" s="85"/>
    </row>
    <row r="596" spans="4:8" ht="15.75">
      <c r="D596" s="85"/>
      <c r="E596" s="85"/>
      <c r="F596" s="85"/>
      <c r="G596" s="85"/>
      <c r="H596" s="85"/>
    </row>
    <row r="597" spans="4:8" ht="15.75">
      <c r="D597" s="85"/>
      <c r="E597" s="85"/>
      <c r="F597" s="85"/>
      <c r="G597" s="85"/>
      <c r="H597" s="85"/>
    </row>
    <row r="598" spans="4:8" ht="15.75">
      <c r="D598" s="85"/>
      <c r="E598" s="85"/>
      <c r="F598" s="85"/>
      <c r="G598" s="85"/>
      <c r="H598" s="85"/>
    </row>
    <row r="599" spans="4:8" ht="15.75">
      <c r="D599" s="85"/>
      <c r="E599" s="85"/>
      <c r="F599" s="85"/>
      <c r="G599" s="85"/>
      <c r="H599" s="85"/>
    </row>
    <row r="600" spans="4:8" ht="15.75">
      <c r="D600" s="85"/>
      <c r="E600" s="85"/>
      <c r="F600" s="85"/>
      <c r="G600" s="85"/>
      <c r="H600" s="85"/>
    </row>
    <row r="601" spans="4:8" ht="15.75">
      <c r="D601" s="85"/>
      <c r="E601" s="85"/>
      <c r="F601" s="85"/>
      <c r="G601" s="85"/>
      <c r="H601" s="85"/>
    </row>
    <row r="602" spans="4:8" ht="15.75">
      <c r="D602" s="85"/>
      <c r="E602" s="85"/>
      <c r="F602" s="85"/>
      <c r="G602" s="85"/>
      <c r="H602" s="85"/>
    </row>
    <row r="603" spans="4:8" ht="15.75">
      <c r="D603" s="85"/>
      <c r="E603" s="85"/>
      <c r="F603" s="85"/>
      <c r="G603" s="85"/>
      <c r="H603" s="85"/>
    </row>
    <row r="604" spans="4:8" ht="15.75">
      <c r="D604" s="85"/>
      <c r="E604" s="85"/>
      <c r="F604" s="85"/>
      <c r="G604" s="85"/>
      <c r="H604" s="85"/>
    </row>
    <row r="605" spans="4:8" ht="15.75">
      <c r="D605" s="85"/>
      <c r="E605" s="85"/>
      <c r="F605" s="85"/>
      <c r="G605" s="85"/>
      <c r="H605" s="85"/>
    </row>
    <row r="606" spans="4:8" ht="15.75">
      <c r="D606" s="85"/>
      <c r="E606" s="85"/>
      <c r="F606" s="85"/>
      <c r="G606" s="85"/>
      <c r="H606" s="85"/>
    </row>
    <row r="607" spans="4:8" ht="15.75">
      <c r="D607" s="85"/>
      <c r="E607" s="85"/>
      <c r="F607" s="85"/>
      <c r="G607" s="85"/>
      <c r="H607" s="85"/>
    </row>
    <row r="608" spans="4:8" ht="15.75">
      <c r="D608" s="85"/>
      <c r="E608" s="85"/>
      <c r="F608" s="85"/>
      <c r="G608" s="85"/>
      <c r="H608" s="85"/>
    </row>
    <row r="609" spans="4:8" ht="15.75">
      <c r="D609" s="85"/>
      <c r="E609" s="85"/>
      <c r="F609" s="85"/>
      <c r="G609" s="85"/>
      <c r="H609" s="85"/>
    </row>
    <row r="610" spans="4:8" ht="15.75">
      <c r="D610" s="85"/>
      <c r="E610" s="85"/>
      <c r="F610" s="85"/>
      <c r="G610" s="85"/>
      <c r="H610" s="85"/>
    </row>
    <row r="611" spans="4:8" ht="15.75">
      <c r="D611" s="85"/>
      <c r="E611" s="85"/>
      <c r="F611" s="85"/>
      <c r="G611" s="85"/>
      <c r="H611" s="85"/>
    </row>
    <row r="612" spans="4:8" ht="15.75">
      <c r="D612" s="85"/>
      <c r="E612" s="85"/>
      <c r="F612" s="85"/>
      <c r="G612" s="85"/>
      <c r="H612" s="85"/>
    </row>
    <row r="613" spans="4:8" ht="15.75">
      <c r="D613" s="85"/>
      <c r="E613" s="85"/>
      <c r="F613" s="85"/>
      <c r="G613" s="85"/>
      <c r="H613" s="85"/>
    </row>
    <row r="614" spans="4:8" ht="15.75">
      <c r="D614" s="85"/>
      <c r="E614" s="85"/>
      <c r="F614" s="85"/>
      <c r="G614" s="85"/>
      <c r="H614" s="85"/>
    </row>
    <row r="615" spans="4:8" ht="15.75">
      <c r="D615" s="85"/>
      <c r="E615" s="85"/>
      <c r="F615" s="85"/>
      <c r="G615" s="85"/>
      <c r="H615" s="85"/>
    </row>
    <row r="616" spans="4:8" ht="15.75">
      <c r="D616" s="85"/>
      <c r="E616" s="85"/>
      <c r="F616" s="85"/>
      <c r="G616" s="85"/>
      <c r="H616" s="85"/>
    </row>
    <row r="617" spans="4:8" ht="15.75">
      <c r="D617" s="85"/>
      <c r="E617" s="85"/>
      <c r="F617" s="85"/>
      <c r="G617" s="85"/>
      <c r="H617" s="85"/>
    </row>
    <row r="618" spans="4:8" ht="15.75">
      <c r="D618" s="85"/>
      <c r="E618" s="85"/>
      <c r="F618" s="85"/>
      <c r="G618" s="85"/>
      <c r="H618" s="85"/>
    </row>
    <row r="619" spans="4:8" ht="15.75">
      <c r="D619" s="85"/>
      <c r="E619" s="85"/>
      <c r="F619" s="85"/>
      <c r="G619" s="85"/>
      <c r="H619" s="85"/>
    </row>
    <row r="620" spans="4:8" ht="15.75">
      <c r="D620" s="85"/>
      <c r="E620" s="85"/>
      <c r="F620" s="85"/>
      <c r="G620" s="85"/>
      <c r="H620" s="85"/>
    </row>
    <row r="621" spans="4:8" ht="15.75">
      <c r="D621" s="85"/>
      <c r="E621" s="85"/>
      <c r="F621" s="85"/>
      <c r="G621" s="85"/>
      <c r="H621" s="85"/>
    </row>
    <row r="622" spans="4:8" ht="15.75">
      <c r="D622" s="85"/>
      <c r="E622" s="85"/>
      <c r="F622" s="85"/>
      <c r="G622" s="85"/>
      <c r="H622" s="85"/>
    </row>
    <row r="623" spans="4:8" ht="15.75">
      <c r="D623" s="85"/>
      <c r="E623" s="85"/>
      <c r="F623" s="85"/>
      <c r="G623" s="85"/>
      <c r="H623" s="85"/>
    </row>
    <row r="624" spans="4:8" ht="15.75">
      <c r="D624" s="85"/>
      <c r="E624" s="85"/>
      <c r="F624" s="85"/>
      <c r="G624" s="85"/>
      <c r="H624" s="85"/>
    </row>
    <row r="625" spans="4:8" ht="15.75">
      <c r="D625" s="85"/>
      <c r="E625" s="85"/>
      <c r="F625" s="85"/>
      <c r="G625" s="85"/>
      <c r="H625" s="85"/>
    </row>
    <row r="626" spans="4:8" ht="15.75">
      <c r="D626" s="85"/>
      <c r="E626" s="85"/>
      <c r="F626" s="85"/>
      <c r="G626" s="85"/>
      <c r="H626" s="85"/>
    </row>
    <row r="627" spans="4:8" ht="15.75">
      <c r="D627" s="85"/>
      <c r="E627" s="85"/>
      <c r="F627" s="85"/>
      <c r="G627" s="85"/>
      <c r="H627" s="85"/>
    </row>
    <row r="628" spans="4:8" ht="15.75">
      <c r="D628" s="85"/>
      <c r="E628" s="85"/>
      <c r="F628" s="85"/>
      <c r="G628" s="85"/>
      <c r="H628" s="85"/>
    </row>
    <row r="629" spans="4:8" ht="15.75">
      <c r="D629" s="85"/>
      <c r="E629" s="85"/>
      <c r="F629" s="85"/>
      <c r="G629" s="85"/>
      <c r="H629" s="85"/>
    </row>
    <row r="630" spans="4:8" ht="15.75">
      <c r="D630" s="85"/>
      <c r="E630" s="85"/>
      <c r="F630" s="85"/>
      <c r="G630" s="85"/>
      <c r="H630" s="85"/>
    </row>
    <row r="631" spans="4:8" ht="15.75">
      <c r="D631" s="85"/>
      <c r="E631" s="85"/>
      <c r="F631" s="85"/>
      <c r="G631" s="85"/>
      <c r="H631" s="85"/>
    </row>
    <row r="632" spans="4:8" ht="15.75">
      <c r="D632" s="85"/>
      <c r="E632" s="85"/>
      <c r="F632" s="85"/>
      <c r="G632" s="85"/>
      <c r="H632" s="85"/>
    </row>
    <row r="633" spans="4:8" ht="15.75">
      <c r="D633" s="85"/>
      <c r="E633" s="85"/>
      <c r="F633" s="85"/>
      <c r="G633" s="85"/>
      <c r="H633" s="85"/>
    </row>
    <row r="634" spans="4:8" ht="15.75">
      <c r="D634" s="85"/>
      <c r="E634" s="85"/>
      <c r="F634" s="85"/>
      <c r="G634" s="85"/>
      <c r="H634" s="85"/>
    </row>
    <row r="635" spans="4:8" ht="15.75">
      <c r="D635" s="85"/>
      <c r="E635" s="85"/>
      <c r="F635" s="85"/>
      <c r="G635" s="85"/>
      <c r="H635" s="85"/>
    </row>
    <row r="636" spans="4:8" ht="15.75">
      <c r="D636" s="85"/>
      <c r="E636" s="85"/>
      <c r="F636" s="85"/>
      <c r="G636" s="85"/>
      <c r="H636" s="85"/>
    </row>
    <row r="637" spans="4:8" ht="15.75">
      <c r="D637" s="85"/>
      <c r="E637" s="85"/>
      <c r="F637" s="85"/>
      <c r="G637" s="85"/>
      <c r="H637" s="85"/>
    </row>
    <row r="638" spans="4:8" ht="15.75">
      <c r="D638" s="85"/>
      <c r="E638" s="85"/>
      <c r="F638" s="85"/>
      <c r="G638" s="85"/>
      <c r="H638" s="85"/>
    </row>
    <row r="639" spans="4:8" ht="15.75">
      <c r="D639" s="85"/>
      <c r="E639" s="85"/>
      <c r="F639" s="85"/>
      <c r="G639" s="85"/>
      <c r="H639" s="85"/>
    </row>
    <row r="640" spans="4:8" ht="15.75">
      <c r="D640" s="85"/>
      <c r="E640" s="85"/>
      <c r="F640" s="85"/>
      <c r="G640" s="85"/>
      <c r="H640" s="85"/>
    </row>
    <row r="641" spans="4:8" ht="15.75">
      <c r="D641" s="85"/>
      <c r="E641" s="85"/>
      <c r="F641" s="85"/>
      <c r="G641" s="85"/>
      <c r="H641" s="85"/>
    </row>
    <row r="642" spans="4:8" ht="15.75">
      <c r="D642" s="85"/>
      <c r="E642" s="85"/>
      <c r="F642" s="85"/>
      <c r="G642" s="85"/>
      <c r="H642" s="85"/>
    </row>
    <row r="643" spans="4:8" ht="15.75">
      <c r="D643" s="85"/>
      <c r="E643" s="85"/>
      <c r="F643" s="85"/>
      <c r="G643" s="85"/>
      <c r="H643" s="85"/>
    </row>
    <row r="644" spans="4:8" ht="15.75">
      <c r="D644" s="85"/>
      <c r="E644" s="85"/>
      <c r="F644" s="85"/>
      <c r="G644" s="85"/>
      <c r="H644" s="85"/>
    </row>
    <row r="645" spans="4:8" ht="15.75">
      <c r="D645" s="85"/>
      <c r="E645" s="85"/>
      <c r="F645" s="85"/>
      <c r="G645" s="85"/>
      <c r="H645" s="85"/>
    </row>
    <row r="646" spans="4:8" ht="15.75">
      <c r="D646" s="85"/>
      <c r="E646" s="85"/>
      <c r="F646" s="85"/>
      <c r="G646" s="85"/>
      <c r="H646" s="85"/>
    </row>
    <row r="647" spans="4:8" ht="15.75">
      <c r="D647" s="85"/>
      <c r="E647" s="85"/>
      <c r="F647" s="85"/>
      <c r="G647" s="85"/>
      <c r="H647" s="85"/>
    </row>
    <row r="648" spans="4:8" ht="15.75">
      <c r="D648" s="85"/>
      <c r="E648" s="85"/>
      <c r="F648" s="85"/>
      <c r="G648" s="85"/>
      <c r="H648" s="85"/>
    </row>
    <row r="649" spans="4:8" ht="15.75">
      <c r="D649" s="85"/>
      <c r="E649" s="85"/>
      <c r="F649" s="85"/>
      <c r="G649" s="85"/>
      <c r="H649" s="85"/>
    </row>
    <row r="650" spans="4:8" ht="15.75">
      <c r="D650" s="85"/>
      <c r="E650" s="85"/>
      <c r="F650" s="85"/>
      <c r="G650" s="85"/>
      <c r="H650" s="85"/>
    </row>
    <row r="651" spans="4:8" ht="15.75">
      <c r="D651" s="85"/>
      <c r="E651" s="85"/>
      <c r="F651" s="85"/>
      <c r="G651" s="85"/>
      <c r="H651" s="85"/>
    </row>
    <row r="652" spans="4:8" ht="15.75">
      <c r="D652" s="85"/>
      <c r="E652" s="85"/>
      <c r="F652" s="85"/>
      <c r="G652" s="85"/>
      <c r="H652" s="85"/>
    </row>
    <row r="653" spans="4:8" ht="15.75">
      <c r="D653" s="85"/>
      <c r="E653" s="85"/>
      <c r="F653" s="85"/>
      <c r="G653" s="85"/>
      <c r="H653" s="85"/>
    </row>
    <row r="654" spans="4:8" ht="15.75">
      <c r="D654" s="85"/>
      <c r="E654" s="85"/>
      <c r="F654" s="85"/>
      <c r="G654" s="85"/>
      <c r="H654" s="85"/>
    </row>
    <row r="655" spans="4:8" ht="15.75">
      <c r="D655" s="85"/>
      <c r="E655" s="85"/>
      <c r="F655" s="85"/>
      <c r="G655" s="85"/>
      <c r="H655" s="85"/>
    </row>
    <row r="656" spans="4:8" ht="15.75">
      <c r="D656" s="85"/>
      <c r="E656" s="85"/>
      <c r="F656" s="85"/>
      <c r="G656" s="85"/>
      <c r="H656" s="85"/>
    </row>
    <row r="657" spans="4:8" ht="15.75">
      <c r="D657" s="85"/>
      <c r="E657" s="85"/>
      <c r="F657" s="85"/>
      <c r="G657" s="85"/>
      <c r="H657" s="85"/>
    </row>
    <row r="658" spans="4:8" ht="15.75">
      <c r="D658" s="85"/>
      <c r="E658" s="85"/>
      <c r="F658" s="85"/>
      <c r="G658" s="85"/>
      <c r="H658" s="85"/>
    </row>
    <row r="659" spans="4:8" ht="15.75">
      <c r="D659" s="85"/>
      <c r="E659" s="85"/>
      <c r="F659" s="85"/>
      <c r="G659" s="85"/>
      <c r="H659" s="85"/>
    </row>
    <row r="660" spans="4:8" ht="15.75">
      <c r="D660" s="85"/>
      <c r="E660" s="85"/>
      <c r="F660" s="85"/>
      <c r="G660" s="85"/>
      <c r="H660" s="85"/>
    </row>
    <row r="661" spans="4:8" ht="15.75">
      <c r="D661" s="85"/>
      <c r="E661" s="85"/>
      <c r="F661" s="85"/>
      <c r="G661" s="85"/>
      <c r="H661" s="85"/>
    </row>
    <row r="662" spans="4:8" ht="15.75">
      <c r="D662" s="85"/>
      <c r="E662" s="85"/>
      <c r="F662" s="85"/>
      <c r="G662" s="85"/>
      <c r="H662" s="85"/>
    </row>
    <row r="663" spans="4:8" ht="15.75">
      <c r="D663" s="85"/>
      <c r="E663" s="85"/>
      <c r="F663" s="85"/>
      <c r="G663" s="85"/>
      <c r="H663" s="85"/>
    </row>
    <row r="664" spans="4:8" ht="15.75">
      <c r="D664" s="85"/>
      <c r="E664" s="85"/>
      <c r="F664" s="85"/>
      <c r="G664" s="85"/>
      <c r="H664" s="85"/>
    </row>
    <row r="665" spans="4:8" ht="15.75">
      <c r="D665" s="85"/>
      <c r="E665" s="85"/>
      <c r="F665" s="85"/>
      <c r="G665" s="85"/>
      <c r="H665" s="85"/>
    </row>
    <row r="666" spans="4:8" ht="15.75">
      <c r="D666" s="85"/>
      <c r="E666" s="85"/>
      <c r="F666" s="85"/>
      <c r="G666" s="85"/>
      <c r="H666" s="85"/>
    </row>
    <row r="667" spans="4:8" ht="15.75">
      <c r="D667" s="85"/>
      <c r="E667" s="85"/>
      <c r="F667" s="85"/>
      <c r="G667" s="85"/>
      <c r="H667" s="85"/>
    </row>
    <row r="668" spans="4:8" ht="15.75">
      <c r="D668" s="85"/>
      <c r="E668" s="85"/>
      <c r="F668" s="85"/>
      <c r="G668" s="85"/>
      <c r="H668" s="85"/>
    </row>
    <row r="669" spans="4:8" ht="15.75">
      <c r="D669" s="85"/>
      <c r="E669" s="85"/>
      <c r="F669" s="85"/>
      <c r="G669" s="85"/>
      <c r="H669" s="85"/>
    </row>
    <row r="670" spans="4:8" ht="15.75">
      <c r="D670" s="85"/>
      <c r="E670" s="85"/>
      <c r="F670" s="85"/>
      <c r="G670" s="85"/>
      <c r="H670" s="85"/>
    </row>
    <row r="671" spans="4:8" ht="15.75">
      <c r="D671" s="85"/>
      <c r="E671" s="85"/>
      <c r="F671" s="85"/>
      <c r="G671" s="85"/>
      <c r="H671" s="85"/>
    </row>
    <row r="672" spans="4:8" ht="15.75">
      <c r="D672" s="85"/>
      <c r="E672" s="85"/>
      <c r="F672" s="85"/>
      <c r="G672" s="85"/>
      <c r="H672" s="85"/>
    </row>
    <row r="673" spans="4:8" ht="15.75">
      <c r="D673" s="85"/>
      <c r="E673" s="85"/>
      <c r="F673" s="85"/>
      <c r="G673" s="85"/>
      <c r="H673" s="85"/>
    </row>
    <row r="674" spans="4:8" ht="15.75">
      <c r="D674" s="85"/>
      <c r="E674" s="85"/>
      <c r="F674" s="85"/>
      <c r="G674" s="85"/>
      <c r="H674" s="85"/>
    </row>
    <row r="675" spans="4:8" ht="15.75">
      <c r="D675" s="85"/>
      <c r="E675" s="85"/>
      <c r="F675" s="85"/>
      <c r="G675" s="85"/>
      <c r="H675" s="85"/>
    </row>
    <row r="676" spans="4:8" ht="15.75">
      <c r="D676" s="85"/>
      <c r="E676" s="85"/>
      <c r="F676" s="85"/>
      <c r="G676" s="85"/>
      <c r="H676" s="85"/>
    </row>
    <row r="677" spans="4:8" ht="15.75">
      <c r="D677" s="85"/>
      <c r="E677" s="85"/>
      <c r="F677" s="85"/>
      <c r="G677" s="85"/>
      <c r="H677" s="85"/>
    </row>
    <row r="678" spans="4:8" ht="15.75">
      <c r="D678" s="85"/>
      <c r="E678" s="85"/>
      <c r="F678" s="85"/>
      <c r="G678" s="85"/>
      <c r="H678" s="85"/>
    </row>
    <row r="679" spans="4:8" ht="15.75">
      <c r="D679" s="85"/>
      <c r="E679" s="85"/>
      <c r="F679" s="85"/>
      <c r="G679" s="85"/>
      <c r="H679" s="85"/>
    </row>
    <row r="680" spans="4:8" ht="15.75">
      <c r="D680" s="85"/>
      <c r="E680" s="85"/>
      <c r="F680" s="85"/>
      <c r="G680" s="85"/>
      <c r="H680" s="85"/>
    </row>
    <row r="681" spans="4:8" ht="15.75">
      <c r="D681" s="85"/>
      <c r="E681" s="85"/>
      <c r="F681" s="85"/>
      <c r="G681" s="85"/>
      <c r="H681" s="85"/>
    </row>
    <row r="682" spans="4:8" ht="15.75">
      <c r="D682" s="85"/>
      <c r="E682" s="85"/>
      <c r="F682" s="85"/>
      <c r="G682" s="85"/>
      <c r="H682" s="85"/>
    </row>
    <row r="683" spans="4:8" ht="15.75">
      <c r="D683" s="85"/>
      <c r="E683" s="85"/>
      <c r="F683" s="85"/>
      <c r="G683" s="85"/>
      <c r="H683" s="85"/>
    </row>
    <row r="684" spans="4:8" ht="15.75">
      <c r="D684" s="85"/>
      <c r="E684" s="85"/>
      <c r="F684" s="85"/>
      <c r="G684" s="85"/>
      <c r="H684" s="85"/>
    </row>
    <row r="685" spans="4:8" ht="15.75">
      <c r="D685" s="85"/>
      <c r="E685" s="85"/>
      <c r="F685" s="85"/>
      <c r="G685" s="85"/>
      <c r="H685" s="85"/>
    </row>
    <row r="686" spans="4:8" ht="15.75">
      <c r="D686" s="85"/>
      <c r="E686" s="85"/>
      <c r="F686" s="85"/>
      <c r="G686" s="85"/>
      <c r="H686" s="85"/>
    </row>
    <row r="687" spans="4:8" ht="15.75">
      <c r="D687" s="85"/>
      <c r="E687" s="85"/>
      <c r="F687" s="85"/>
      <c r="G687" s="85"/>
      <c r="H687" s="85"/>
    </row>
    <row r="688" spans="4:8" ht="15.75">
      <c r="D688" s="85"/>
      <c r="E688" s="85"/>
      <c r="F688" s="85"/>
      <c r="G688" s="85"/>
      <c r="H688" s="85"/>
    </row>
    <row r="689" spans="4:8" ht="15.75">
      <c r="D689" s="85"/>
      <c r="E689" s="85"/>
      <c r="F689" s="85"/>
      <c r="G689" s="85"/>
      <c r="H689" s="85"/>
    </row>
    <row r="690" spans="4:8" ht="15.75">
      <c r="D690" s="85"/>
      <c r="E690" s="85"/>
      <c r="F690" s="85"/>
      <c r="G690" s="85"/>
      <c r="H690" s="85"/>
    </row>
    <row r="691" spans="4:8" ht="15.75">
      <c r="D691" s="85"/>
      <c r="E691" s="85"/>
      <c r="F691" s="85"/>
      <c r="G691" s="85"/>
      <c r="H691" s="85"/>
    </row>
    <row r="692" spans="4:8" ht="15.75">
      <c r="D692" s="85"/>
      <c r="E692" s="85"/>
      <c r="F692" s="85"/>
      <c r="G692" s="85"/>
      <c r="H692" s="85"/>
    </row>
    <row r="693" spans="4:8" ht="15.75">
      <c r="D693" s="85"/>
      <c r="E693" s="85"/>
      <c r="F693" s="85"/>
      <c r="G693" s="85"/>
      <c r="H693" s="85"/>
    </row>
    <row r="694" spans="4:8" ht="15.75">
      <c r="D694" s="85"/>
      <c r="E694" s="85"/>
      <c r="F694" s="85"/>
      <c r="G694" s="85"/>
      <c r="H694" s="85"/>
    </row>
    <row r="695" spans="4:8" ht="15.75">
      <c r="D695" s="85"/>
      <c r="E695" s="85"/>
      <c r="F695" s="85"/>
      <c r="G695" s="85"/>
      <c r="H695" s="85"/>
    </row>
    <row r="696" spans="4:8" ht="15.75">
      <c r="D696" s="85"/>
      <c r="E696" s="85"/>
      <c r="F696" s="85"/>
      <c r="G696" s="85"/>
      <c r="H696" s="85"/>
    </row>
    <row r="697" spans="4:8" ht="15.75">
      <c r="D697" s="85"/>
      <c r="E697" s="85"/>
      <c r="F697" s="85"/>
      <c r="G697" s="85"/>
      <c r="H697" s="85"/>
    </row>
    <row r="698" spans="4:8" ht="15.75">
      <c r="D698" s="85"/>
      <c r="E698" s="85"/>
      <c r="F698" s="85"/>
      <c r="G698" s="85"/>
      <c r="H698" s="85"/>
    </row>
    <row r="699" spans="4:8" ht="15.75">
      <c r="D699" s="85"/>
      <c r="E699" s="85"/>
      <c r="F699" s="85"/>
      <c r="G699" s="85"/>
      <c r="H699" s="85"/>
    </row>
    <row r="700" spans="4:8" ht="15.75">
      <c r="D700" s="85"/>
      <c r="E700" s="85"/>
      <c r="F700" s="85"/>
      <c r="G700" s="85"/>
      <c r="H700" s="85"/>
    </row>
    <row r="701" spans="4:8" ht="15.75">
      <c r="D701" s="85"/>
      <c r="E701" s="85"/>
      <c r="F701" s="85"/>
      <c r="G701" s="85"/>
      <c r="H701" s="85"/>
    </row>
    <row r="702" spans="4:8" ht="15.75">
      <c r="D702" s="85"/>
      <c r="E702" s="85"/>
      <c r="F702" s="85"/>
      <c r="G702" s="85"/>
      <c r="H702" s="85"/>
    </row>
    <row r="703" spans="4:8" ht="15.75">
      <c r="D703" s="85"/>
      <c r="E703" s="85"/>
      <c r="F703" s="85"/>
      <c r="G703" s="85"/>
      <c r="H703" s="85"/>
    </row>
    <row r="704" spans="4:8" ht="15.75">
      <c r="D704" s="85"/>
      <c r="E704" s="85"/>
      <c r="F704" s="85"/>
      <c r="G704" s="85"/>
      <c r="H704" s="85"/>
    </row>
    <row r="705" spans="4:8" ht="15.75">
      <c r="D705" s="85"/>
      <c r="E705" s="85"/>
      <c r="F705" s="85"/>
      <c r="G705" s="85"/>
      <c r="H705" s="85"/>
    </row>
    <row r="706" spans="4:8" ht="15.75">
      <c r="D706" s="85"/>
      <c r="E706" s="85"/>
      <c r="F706" s="85"/>
      <c r="G706" s="85"/>
      <c r="H706" s="85"/>
    </row>
    <row r="707" spans="4:8" ht="15.75">
      <c r="D707" s="85"/>
      <c r="E707" s="85"/>
      <c r="F707" s="85"/>
      <c r="G707" s="85"/>
      <c r="H707" s="85"/>
    </row>
    <row r="708" spans="4:8" ht="15.75">
      <c r="D708" s="85"/>
      <c r="E708" s="85"/>
      <c r="F708" s="85"/>
      <c r="G708" s="85"/>
      <c r="H708" s="85"/>
    </row>
    <row r="709" spans="4:8" ht="15.75">
      <c r="D709" s="85"/>
      <c r="E709" s="85"/>
      <c r="F709" s="85"/>
      <c r="G709" s="85"/>
      <c r="H709" s="85"/>
    </row>
    <row r="710" spans="4:8" ht="15.75">
      <c r="D710" s="85"/>
      <c r="E710" s="85"/>
      <c r="F710" s="85"/>
      <c r="G710" s="85"/>
      <c r="H710" s="85"/>
    </row>
    <row r="711" spans="4:8" ht="15.75">
      <c r="D711" s="85"/>
      <c r="E711" s="85"/>
      <c r="F711" s="85"/>
      <c r="G711" s="85"/>
      <c r="H711" s="85"/>
    </row>
    <row r="712" spans="4:8" ht="15.75">
      <c r="D712" s="85"/>
      <c r="E712" s="85"/>
      <c r="F712" s="85"/>
      <c r="G712" s="85"/>
      <c r="H712" s="85"/>
    </row>
    <row r="713" spans="4:8" ht="15.75">
      <c r="D713" s="85"/>
      <c r="E713" s="85"/>
      <c r="F713" s="85"/>
      <c r="G713" s="85"/>
      <c r="H713" s="85"/>
    </row>
    <row r="714" spans="4:8" ht="15.75">
      <c r="D714" s="85"/>
      <c r="E714" s="85"/>
      <c r="F714" s="85"/>
      <c r="G714" s="85"/>
      <c r="H714" s="85"/>
    </row>
    <row r="715" spans="4:8" ht="15.75">
      <c r="D715" s="85"/>
      <c r="E715" s="85"/>
      <c r="F715" s="85"/>
      <c r="G715" s="85"/>
      <c r="H715" s="85"/>
    </row>
    <row r="716" spans="4:8" ht="15.75">
      <c r="D716" s="85"/>
      <c r="E716" s="85"/>
      <c r="F716" s="85"/>
      <c r="G716" s="85"/>
      <c r="H716" s="85"/>
    </row>
    <row r="717" spans="4:8" ht="15.75">
      <c r="D717" s="85"/>
      <c r="E717" s="85"/>
      <c r="F717" s="85"/>
      <c r="G717" s="85"/>
      <c r="H717" s="85"/>
    </row>
    <row r="718" spans="4:8" ht="15.75">
      <c r="D718" s="85"/>
      <c r="E718" s="85"/>
      <c r="F718" s="85"/>
      <c r="G718" s="85"/>
      <c r="H718" s="85"/>
    </row>
    <row r="719" spans="4:8" ht="15.75">
      <c r="D719" s="85"/>
      <c r="E719" s="85"/>
      <c r="F719" s="85"/>
      <c r="G719" s="85"/>
      <c r="H719" s="85"/>
    </row>
    <row r="720" spans="4:8" ht="15.75">
      <c r="D720" s="85"/>
      <c r="E720" s="85"/>
      <c r="F720" s="85"/>
      <c r="G720" s="85"/>
      <c r="H720" s="85"/>
    </row>
    <row r="721" spans="4:8" ht="15.75">
      <c r="D721" s="85"/>
      <c r="E721" s="85"/>
      <c r="F721" s="85"/>
      <c r="G721" s="85"/>
      <c r="H721" s="85"/>
    </row>
    <row r="722" spans="4:8" ht="15.75">
      <c r="D722" s="85"/>
      <c r="E722" s="85"/>
      <c r="F722" s="85"/>
      <c r="G722" s="85"/>
      <c r="H722" s="85"/>
    </row>
    <row r="723" spans="4:8" ht="15.75">
      <c r="D723" s="85"/>
      <c r="E723" s="85"/>
      <c r="F723" s="85"/>
      <c r="G723" s="85"/>
      <c r="H723" s="85"/>
    </row>
    <row r="724" spans="4:8" ht="15.75">
      <c r="D724" s="85"/>
      <c r="E724" s="85"/>
      <c r="F724" s="85"/>
      <c r="G724" s="85"/>
      <c r="H724" s="85"/>
    </row>
    <row r="725" spans="4:8" ht="15.75">
      <c r="D725" s="85"/>
      <c r="E725" s="85"/>
      <c r="F725" s="85"/>
      <c r="G725" s="85"/>
      <c r="H725" s="85"/>
    </row>
    <row r="726" spans="4:8" ht="15.75">
      <c r="D726" s="85"/>
      <c r="E726" s="85"/>
      <c r="F726" s="85"/>
      <c r="G726" s="85"/>
      <c r="H726" s="85"/>
    </row>
    <row r="727" spans="4:8" ht="15.75">
      <c r="D727" s="85"/>
      <c r="E727" s="85"/>
      <c r="F727" s="85"/>
      <c r="G727" s="85"/>
      <c r="H727" s="85"/>
    </row>
    <row r="728" spans="4:8" ht="15.75">
      <c r="D728" s="85"/>
      <c r="E728" s="85"/>
      <c r="F728" s="85"/>
      <c r="G728" s="85"/>
      <c r="H728" s="85"/>
    </row>
    <row r="729" spans="4:8" ht="15.75">
      <c r="D729" s="85"/>
      <c r="E729" s="85"/>
      <c r="F729" s="85"/>
      <c r="G729" s="85"/>
      <c r="H729" s="85"/>
    </row>
    <row r="730" spans="4:8" ht="15.75">
      <c r="D730" s="85"/>
      <c r="E730" s="85"/>
      <c r="F730" s="85"/>
      <c r="G730" s="85"/>
      <c r="H730" s="85"/>
    </row>
    <row r="731" spans="4:8" ht="15.75">
      <c r="D731" s="85"/>
      <c r="E731" s="85"/>
      <c r="F731" s="85"/>
      <c r="G731" s="85"/>
      <c r="H731" s="85"/>
    </row>
    <row r="732" spans="4:8" ht="15.75">
      <c r="D732" s="85"/>
      <c r="E732" s="85"/>
      <c r="F732" s="85"/>
      <c r="G732" s="85"/>
      <c r="H732" s="85"/>
    </row>
    <row r="733" spans="4:8" ht="15.75">
      <c r="D733" s="85"/>
      <c r="E733" s="85"/>
      <c r="F733" s="85"/>
      <c r="G733" s="85"/>
      <c r="H733" s="85"/>
    </row>
    <row r="734" spans="4:8" ht="15.75">
      <c r="D734" s="85"/>
      <c r="E734" s="85"/>
      <c r="F734" s="85"/>
      <c r="G734" s="85"/>
      <c r="H734" s="85"/>
    </row>
    <row r="735" spans="4:8" ht="15.75">
      <c r="D735" s="85"/>
      <c r="E735" s="85"/>
      <c r="F735" s="85"/>
      <c r="G735" s="85"/>
      <c r="H735" s="85"/>
    </row>
    <row r="736" spans="4:8" ht="15.75">
      <c r="D736" s="85"/>
      <c r="E736" s="85"/>
      <c r="F736" s="85"/>
      <c r="G736" s="85"/>
      <c r="H736" s="85"/>
    </row>
    <row r="737" spans="4:8" ht="15.75">
      <c r="D737" s="85"/>
      <c r="E737" s="85"/>
      <c r="F737" s="85"/>
      <c r="G737" s="85"/>
      <c r="H737" s="85"/>
    </row>
    <row r="738" spans="4:8" ht="15.75">
      <c r="D738" s="85"/>
      <c r="E738" s="85"/>
      <c r="F738" s="85"/>
      <c r="G738" s="85"/>
      <c r="H738" s="85"/>
    </row>
    <row r="739" spans="4:8" ht="15.75">
      <c r="D739" s="85"/>
      <c r="E739" s="85"/>
      <c r="F739" s="85"/>
      <c r="G739" s="85"/>
      <c r="H739" s="85"/>
    </row>
    <row r="740" spans="4:8" ht="15.75">
      <c r="D740" s="85"/>
      <c r="E740" s="85"/>
      <c r="F740" s="85"/>
      <c r="G740" s="85"/>
      <c r="H740" s="85"/>
    </row>
    <row r="741" spans="4:8" ht="15.75">
      <c r="D741" s="85"/>
      <c r="E741" s="85"/>
      <c r="F741" s="85"/>
      <c r="G741" s="85"/>
      <c r="H741" s="85"/>
    </row>
    <row r="742" spans="4:8" ht="15.75">
      <c r="D742" s="85"/>
      <c r="E742" s="85"/>
      <c r="F742" s="85"/>
      <c r="G742" s="85"/>
      <c r="H742" s="85"/>
    </row>
    <row r="743" spans="4:8" ht="15.75">
      <c r="D743" s="85"/>
      <c r="E743" s="85"/>
      <c r="F743" s="85"/>
      <c r="G743" s="85"/>
      <c r="H743" s="85"/>
    </row>
    <row r="744" spans="4:8" ht="15.75">
      <c r="D744" s="85"/>
      <c r="E744" s="85"/>
      <c r="F744" s="85"/>
      <c r="G744" s="85"/>
      <c r="H744" s="85"/>
    </row>
    <row r="745" spans="4:8" ht="15.75">
      <c r="D745" s="85"/>
      <c r="E745" s="85"/>
      <c r="F745" s="85"/>
      <c r="G745" s="85"/>
      <c r="H745" s="85"/>
    </row>
    <row r="746" spans="4:8" ht="15.75">
      <c r="D746" s="85"/>
      <c r="E746" s="85"/>
      <c r="F746" s="85"/>
      <c r="G746" s="85"/>
      <c r="H746" s="85"/>
    </row>
    <row r="747" spans="4:8" ht="15.75">
      <c r="D747" s="85"/>
      <c r="E747" s="85"/>
      <c r="F747" s="85"/>
      <c r="G747" s="85"/>
      <c r="H747" s="85"/>
    </row>
    <row r="748" spans="4:8" ht="15.75">
      <c r="D748" s="85"/>
      <c r="E748" s="85"/>
      <c r="F748" s="85"/>
      <c r="G748" s="85"/>
      <c r="H748" s="85"/>
    </row>
    <row r="749" spans="4:8" ht="15.75">
      <c r="D749" s="85"/>
      <c r="E749" s="85"/>
      <c r="F749" s="85"/>
      <c r="G749" s="85"/>
      <c r="H749" s="85"/>
    </row>
    <row r="750" spans="4:8" ht="15.75">
      <c r="D750" s="85"/>
      <c r="E750" s="85"/>
      <c r="F750" s="85"/>
      <c r="G750" s="85"/>
      <c r="H750" s="85"/>
    </row>
    <row r="751" spans="4:8" ht="15.75">
      <c r="D751" s="85"/>
      <c r="E751" s="85"/>
      <c r="F751" s="85"/>
      <c r="G751" s="85"/>
      <c r="H751" s="85"/>
    </row>
    <row r="752" spans="4:8" ht="15.75">
      <c r="D752" s="85"/>
      <c r="E752" s="85"/>
      <c r="F752" s="85"/>
      <c r="G752" s="85"/>
      <c r="H752" s="85"/>
    </row>
    <row r="753" spans="4:8" ht="15.75">
      <c r="D753" s="85"/>
      <c r="E753" s="85"/>
      <c r="F753" s="85"/>
      <c r="G753" s="85"/>
      <c r="H753" s="85"/>
    </row>
    <row r="754" spans="4:8" ht="15.75">
      <c r="D754" s="85"/>
      <c r="E754" s="85"/>
      <c r="F754" s="85"/>
      <c r="G754" s="85"/>
      <c r="H754" s="85"/>
    </row>
    <row r="755" spans="4:8" ht="15.75">
      <c r="D755" s="85"/>
      <c r="E755" s="85"/>
      <c r="F755" s="85"/>
      <c r="G755" s="85"/>
      <c r="H755" s="85"/>
    </row>
    <row r="756" spans="4:8" ht="15.75">
      <c r="D756" s="85"/>
      <c r="E756" s="85"/>
      <c r="F756" s="85"/>
      <c r="G756" s="85"/>
      <c r="H756" s="85"/>
    </row>
    <row r="757" spans="4:8" ht="15.75">
      <c r="D757" s="85"/>
      <c r="E757" s="85"/>
      <c r="F757" s="85"/>
      <c r="G757" s="85"/>
      <c r="H757" s="85"/>
    </row>
    <row r="758" spans="4:8" ht="15.75">
      <c r="D758" s="85"/>
      <c r="E758" s="85"/>
      <c r="F758" s="85"/>
      <c r="G758" s="85"/>
      <c r="H758" s="85"/>
    </row>
    <row r="759" spans="4:8" ht="15.75">
      <c r="D759" s="85"/>
      <c r="E759" s="85"/>
      <c r="F759" s="85"/>
      <c r="G759" s="85"/>
      <c r="H759" s="85"/>
    </row>
    <row r="760" spans="4:8" ht="15.75">
      <c r="D760" s="85"/>
      <c r="E760" s="85"/>
      <c r="F760" s="85"/>
      <c r="G760" s="85"/>
      <c r="H760" s="85"/>
    </row>
    <row r="761" spans="4:8" ht="15.75">
      <c r="D761" s="85"/>
      <c r="E761" s="85"/>
      <c r="F761" s="85"/>
      <c r="G761" s="85"/>
      <c r="H761" s="85"/>
    </row>
    <row r="762" spans="4:8" ht="15.75">
      <c r="D762" s="85"/>
      <c r="E762" s="85"/>
      <c r="F762" s="85"/>
      <c r="G762" s="85"/>
      <c r="H762" s="85"/>
    </row>
    <row r="763" spans="4:8" ht="15.75">
      <c r="D763" s="85"/>
      <c r="E763" s="85"/>
      <c r="F763" s="85"/>
      <c r="G763" s="85"/>
      <c r="H763" s="85"/>
    </row>
    <row r="764" spans="4:8" ht="15.75">
      <c r="D764" s="85"/>
      <c r="E764" s="85"/>
      <c r="F764" s="85"/>
      <c r="G764" s="85"/>
      <c r="H764" s="85"/>
    </row>
    <row r="765" spans="4:8" ht="15.75">
      <c r="D765" s="85"/>
      <c r="E765" s="85"/>
      <c r="F765" s="85"/>
      <c r="G765" s="85"/>
      <c r="H765" s="85"/>
    </row>
    <row r="766" spans="4:8" ht="15.75">
      <c r="D766" s="85"/>
      <c r="E766" s="85"/>
      <c r="F766" s="85"/>
      <c r="G766" s="85"/>
      <c r="H766" s="85"/>
    </row>
    <row r="767" spans="4:8" ht="15.75">
      <c r="D767" s="85"/>
      <c r="E767" s="85"/>
      <c r="F767" s="85"/>
      <c r="G767" s="85"/>
      <c r="H767" s="85"/>
    </row>
    <row r="768" spans="4:8" ht="15.75">
      <c r="D768" s="85"/>
      <c r="E768" s="85"/>
      <c r="F768" s="85"/>
      <c r="G768" s="85"/>
      <c r="H768" s="85"/>
    </row>
    <row r="769" spans="4:8" ht="15.75">
      <c r="D769" s="85"/>
      <c r="E769" s="85"/>
      <c r="F769" s="85"/>
      <c r="G769" s="85"/>
      <c r="H769" s="85"/>
    </row>
    <row r="770" spans="4:8" ht="15.75">
      <c r="D770" s="85"/>
      <c r="E770" s="85"/>
      <c r="F770" s="85"/>
      <c r="G770" s="85"/>
      <c r="H770" s="85"/>
    </row>
    <row r="771" spans="4:8" ht="15.75">
      <c r="D771" s="85"/>
      <c r="E771" s="85"/>
      <c r="F771" s="85"/>
      <c r="G771" s="85"/>
      <c r="H771" s="85"/>
    </row>
    <row r="772" spans="4:8" ht="15.75">
      <c r="D772" s="85"/>
      <c r="E772" s="85"/>
      <c r="F772" s="85"/>
      <c r="G772" s="85"/>
      <c r="H772" s="85"/>
    </row>
    <row r="773" spans="4:8" ht="15.75">
      <c r="D773" s="85"/>
      <c r="E773" s="85"/>
      <c r="F773" s="85"/>
      <c r="G773" s="85"/>
      <c r="H773" s="85"/>
    </row>
    <row r="774" spans="4:8" ht="15.75">
      <c r="D774" s="85"/>
      <c r="E774" s="85"/>
      <c r="F774" s="85"/>
      <c r="G774" s="85"/>
      <c r="H774" s="85"/>
    </row>
    <row r="775" spans="4:8" ht="15.75">
      <c r="D775" s="85"/>
      <c r="E775" s="85"/>
      <c r="F775" s="85"/>
      <c r="G775" s="85"/>
      <c r="H775" s="85"/>
    </row>
    <row r="776" spans="4:8" ht="15.75">
      <c r="D776" s="85"/>
      <c r="E776" s="85"/>
      <c r="F776" s="85"/>
      <c r="G776" s="85"/>
      <c r="H776" s="85"/>
    </row>
    <row r="777" spans="4:8" ht="15.75">
      <c r="D777" s="85"/>
      <c r="E777" s="85"/>
      <c r="F777" s="85"/>
      <c r="G777" s="85"/>
      <c r="H777" s="85"/>
    </row>
    <row r="778" spans="4:8" ht="15.75">
      <c r="D778" s="85"/>
      <c r="E778" s="85"/>
      <c r="F778" s="85"/>
      <c r="G778" s="85"/>
      <c r="H778" s="85"/>
    </row>
    <row r="779" spans="4:8" ht="15.75">
      <c r="D779" s="85"/>
      <c r="E779" s="85"/>
      <c r="F779" s="85"/>
      <c r="G779" s="85"/>
      <c r="H779" s="85"/>
    </row>
    <row r="780" spans="4:8" ht="15.75">
      <c r="D780" s="85"/>
      <c r="E780" s="85"/>
      <c r="F780" s="85"/>
      <c r="G780" s="85"/>
      <c r="H780" s="85"/>
    </row>
    <row r="781" spans="4:8" ht="15.75">
      <c r="D781" s="85"/>
      <c r="E781" s="85"/>
      <c r="F781" s="85"/>
      <c r="G781" s="85"/>
      <c r="H781" s="85"/>
    </row>
    <row r="782" spans="4:8" ht="15.75">
      <c r="D782" s="85"/>
      <c r="E782" s="85"/>
      <c r="F782" s="85"/>
      <c r="G782" s="85"/>
      <c r="H782" s="85"/>
    </row>
    <row r="783" spans="4:8" ht="15.75">
      <c r="D783" s="85"/>
      <c r="E783" s="85"/>
      <c r="F783" s="85"/>
      <c r="G783" s="85"/>
      <c r="H783" s="85"/>
    </row>
    <row r="784" spans="4:8" ht="15.75">
      <c r="D784" s="85"/>
      <c r="E784" s="85"/>
      <c r="F784" s="85"/>
      <c r="G784" s="85"/>
      <c r="H784" s="85"/>
    </row>
    <row r="785" spans="4:8" ht="15.75">
      <c r="D785" s="85"/>
      <c r="E785" s="85"/>
      <c r="F785" s="85"/>
      <c r="G785" s="85"/>
      <c r="H785" s="85"/>
    </row>
    <row r="786" spans="4:8" ht="15.75">
      <c r="D786" s="85"/>
      <c r="E786" s="85"/>
      <c r="F786" s="85"/>
      <c r="G786" s="85"/>
      <c r="H786" s="85"/>
    </row>
    <row r="787" spans="4:8" ht="15.75">
      <c r="D787" s="85"/>
      <c r="E787" s="85"/>
      <c r="F787" s="85"/>
      <c r="G787" s="85"/>
      <c r="H787" s="85"/>
    </row>
    <row r="788" spans="4:8" ht="15.75">
      <c r="D788" s="85"/>
      <c r="E788" s="85"/>
      <c r="F788" s="85"/>
      <c r="G788" s="85"/>
      <c r="H788" s="85"/>
    </row>
    <row r="789" spans="4:8" ht="15.75">
      <c r="D789" s="85"/>
      <c r="E789" s="85"/>
      <c r="F789" s="85"/>
      <c r="G789" s="85"/>
      <c r="H789" s="85"/>
    </row>
    <row r="790" spans="4:8" ht="15.75">
      <c r="D790" s="85"/>
      <c r="E790" s="85"/>
      <c r="F790" s="85"/>
      <c r="G790" s="85"/>
      <c r="H790" s="85"/>
    </row>
    <row r="791" spans="4:8" ht="15.75">
      <c r="D791" s="85"/>
      <c r="E791" s="85"/>
      <c r="F791" s="85"/>
      <c r="G791" s="85"/>
      <c r="H791" s="85"/>
    </row>
    <row r="792" spans="4:8" ht="15.75">
      <c r="D792" s="85"/>
      <c r="E792" s="85"/>
      <c r="F792" s="85"/>
      <c r="G792" s="85"/>
      <c r="H792" s="85"/>
    </row>
    <row r="793" spans="4:8" ht="15.75">
      <c r="D793" s="85"/>
      <c r="E793" s="85"/>
      <c r="F793" s="85"/>
      <c r="G793" s="85"/>
      <c r="H793" s="85"/>
    </row>
    <row r="794" spans="4:8" ht="15.75">
      <c r="D794" s="85"/>
      <c r="E794" s="85"/>
      <c r="F794" s="85"/>
      <c r="G794" s="85"/>
      <c r="H794" s="85"/>
    </row>
    <row r="795" spans="4:8" ht="15.75">
      <c r="D795" s="85"/>
      <c r="E795" s="85"/>
      <c r="F795" s="85"/>
      <c r="G795" s="85"/>
      <c r="H795" s="85"/>
    </row>
    <row r="796" spans="4:8" ht="15.75">
      <c r="D796" s="85"/>
      <c r="E796" s="85"/>
      <c r="F796" s="85"/>
      <c r="G796" s="85"/>
      <c r="H796" s="85"/>
    </row>
    <row r="797" spans="4:8" ht="15.75">
      <c r="D797" s="85"/>
      <c r="E797" s="85"/>
      <c r="F797" s="85"/>
      <c r="G797" s="85"/>
      <c r="H797" s="85"/>
    </row>
    <row r="798" spans="4:8" ht="15.75">
      <c r="D798" s="85"/>
      <c r="E798" s="85"/>
      <c r="F798" s="85"/>
      <c r="G798" s="85"/>
      <c r="H798" s="85"/>
    </row>
    <row r="799" spans="4:8" ht="15.75">
      <c r="D799" s="85"/>
      <c r="E799" s="85"/>
      <c r="F799" s="85"/>
      <c r="G799" s="85"/>
      <c r="H799" s="85"/>
    </row>
    <row r="800" spans="4:8" ht="15.75">
      <c r="D800" s="85"/>
      <c r="E800" s="85"/>
      <c r="F800" s="85"/>
      <c r="G800" s="85"/>
      <c r="H800" s="85"/>
    </row>
    <row r="801" spans="4:8" ht="15.75">
      <c r="D801" s="85"/>
      <c r="E801" s="85"/>
      <c r="F801" s="85"/>
      <c r="G801" s="85"/>
      <c r="H801" s="85"/>
    </row>
    <row r="802" spans="4:8" ht="15.75">
      <c r="D802" s="85"/>
      <c r="E802" s="85"/>
      <c r="F802" s="85"/>
      <c r="G802" s="85"/>
      <c r="H802" s="85"/>
    </row>
    <row r="803" spans="4:8" ht="15.75">
      <c r="D803" s="85"/>
      <c r="E803" s="85"/>
      <c r="F803" s="85"/>
      <c r="G803" s="85"/>
      <c r="H803" s="85"/>
    </row>
    <row r="804" spans="4:8" ht="15.75">
      <c r="D804" s="85"/>
      <c r="E804" s="85"/>
      <c r="F804" s="85"/>
      <c r="G804" s="85"/>
      <c r="H804" s="85"/>
    </row>
    <row r="805" spans="4:8" ht="15.75">
      <c r="D805" s="85"/>
      <c r="E805" s="85"/>
      <c r="F805" s="85"/>
      <c r="G805" s="85"/>
      <c r="H805" s="85"/>
    </row>
    <row r="806" spans="4:8" ht="15.75">
      <c r="D806" s="85"/>
      <c r="E806" s="85"/>
      <c r="F806" s="85"/>
      <c r="G806" s="85"/>
      <c r="H806" s="85"/>
    </row>
    <row r="807" spans="4:8" ht="15.75">
      <c r="D807" s="85"/>
      <c r="E807" s="85"/>
      <c r="F807" s="85"/>
      <c r="G807" s="85"/>
      <c r="H807" s="85"/>
    </row>
    <row r="808" spans="4:8" ht="15.75">
      <c r="D808" s="85"/>
      <c r="E808" s="85"/>
      <c r="F808" s="85"/>
      <c r="G808" s="85"/>
      <c r="H808" s="85"/>
    </row>
    <row r="809" spans="4:8" ht="15.75">
      <c r="D809" s="85"/>
      <c r="E809" s="85"/>
      <c r="F809" s="85"/>
      <c r="G809" s="85"/>
      <c r="H809" s="85"/>
    </row>
    <row r="810" spans="4:8" ht="15.75">
      <c r="D810" s="85"/>
      <c r="E810" s="85"/>
      <c r="F810" s="85"/>
      <c r="G810" s="85"/>
      <c r="H810" s="85"/>
    </row>
    <row r="811" spans="4:8" ht="15.75">
      <c r="D811" s="85"/>
      <c r="E811" s="85"/>
      <c r="F811" s="85"/>
      <c r="G811" s="85"/>
      <c r="H811" s="85"/>
    </row>
    <row r="812" spans="4:8" ht="15.75">
      <c r="D812" s="85"/>
      <c r="E812" s="85"/>
      <c r="F812" s="85"/>
      <c r="G812" s="85"/>
      <c r="H812" s="85"/>
    </row>
    <row r="813" spans="4:8" ht="15.75">
      <c r="D813" s="85"/>
      <c r="E813" s="85"/>
      <c r="F813" s="85"/>
      <c r="G813" s="85"/>
      <c r="H813" s="85"/>
    </row>
    <row r="814" spans="4:8" ht="15.75">
      <c r="D814" s="85"/>
      <c r="E814" s="85"/>
      <c r="F814" s="85"/>
      <c r="G814" s="85"/>
      <c r="H814" s="85"/>
    </row>
    <row r="815" spans="4:8" ht="15.75">
      <c r="D815" s="85"/>
      <c r="E815" s="85"/>
      <c r="F815" s="85"/>
      <c r="G815" s="85"/>
      <c r="H815" s="85"/>
    </row>
    <row r="816" spans="4:8" ht="15.75">
      <c r="D816" s="85"/>
      <c r="E816" s="85"/>
      <c r="F816" s="85"/>
      <c r="G816" s="85"/>
      <c r="H816" s="85"/>
    </row>
    <row r="817" spans="4:8" ht="15.75">
      <c r="D817" s="85"/>
      <c r="E817" s="85"/>
      <c r="F817" s="85"/>
      <c r="G817" s="85"/>
      <c r="H817" s="85"/>
    </row>
    <row r="818" spans="4:8" ht="15.75">
      <c r="D818" s="85"/>
      <c r="E818" s="85"/>
      <c r="F818" s="85"/>
      <c r="G818" s="85"/>
      <c r="H818" s="85"/>
    </row>
    <row r="819" spans="4:8" ht="15.75">
      <c r="D819" s="85"/>
      <c r="E819" s="85"/>
      <c r="F819" s="85"/>
      <c r="G819" s="85"/>
      <c r="H819" s="85"/>
    </row>
    <row r="820" spans="4:8" ht="15.75">
      <c r="D820" s="85"/>
      <c r="E820" s="85"/>
      <c r="F820" s="85"/>
      <c r="G820" s="85"/>
      <c r="H820" s="85"/>
    </row>
    <row r="821" spans="4:8" ht="15.75">
      <c r="D821" s="85"/>
      <c r="E821" s="85"/>
      <c r="F821" s="85"/>
      <c r="G821" s="85"/>
      <c r="H821" s="85"/>
    </row>
    <row r="822" spans="4:8" ht="15.75">
      <c r="D822" s="85"/>
      <c r="E822" s="85"/>
      <c r="F822" s="85"/>
      <c r="G822" s="85"/>
      <c r="H822" s="85"/>
    </row>
    <row r="823" spans="4:8" ht="15.75">
      <c r="D823" s="85"/>
      <c r="E823" s="85"/>
      <c r="F823" s="85"/>
      <c r="G823" s="85"/>
      <c r="H823" s="85"/>
    </row>
    <row r="824" spans="4:8" ht="15.75">
      <c r="D824" s="85"/>
      <c r="E824" s="85"/>
      <c r="F824" s="85"/>
      <c r="G824" s="85"/>
      <c r="H824" s="85"/>
    </row>
    <row r="825" spans="4:8" ht="15.75">
      <c r="D825" s="85"/>
      <c r="E825" s="85"/>
      <c r="F825" s="85"/>
      <c r="G825" s="85"/>
      <c r="H825" s="85"/>
    </row>
    <row r="826" spans="4:8" ht="15.75">
      <c r="D826" s="85"/>
      <c r="E826" s="85"/>
      <c r="F826" s="85"/>
      <c r="G826" s="85"/>
      <c r="H826" s="85"/>
    </row>
    <row r="827" spans="4:8" ht="15.75">
      <c r="D827" s="85"/>
      <c r="E827" s="85"/>
      <c r="F827" s="85"/>
      <c r="G827" s="85"/>
      <c r="H827" s="85"/>
    </row>
    <row r="828" spans="4:8" ht="15.75">
      <c r="D828" s="85"/>
      <c r="E828" s="85"/>
      <c r="F828" s="85"/>
      <c r="G828" s="85"/>
      <c r="H828" s="85"/>
    </row>
    <row r="829" spans="4:8" ht="15.75">
      <c r="D829" s="85"/>
      <c r="E829" s="85"/>
      <c r="F829" s="85"/>
      <c r="G829" s="85"/>
      <c r="H829" s="85"/>
    </row>
    <row r="830" spans="4:8" ht="15.75">
      <c r="D830" s="85"/>
      <c r="E830" s="85"/>
      <c r="F830" s="85"/>
      <c r="G830" s="85"/>
      <c r="H830" s="85"/>
    </row>
    <row r="831" spans="4:8" ht="15.75">
      <c r="D831" s="85"/>
      <c r="E831" s="85"/>
      <c r="F831" s="85"/>
      <c r="G831" s="85"/>
      <c r="H831" s="85"/>
    </row>
    <row r="832" spans="4:8" ht="15.75">
      <c r="D832" s="85"/>
      <c r="E832" s="85"/>
      <c r="F832" s="85"/>
      <c r="G832" s="85"/>
      <c r="H832" s="85"/>
    </row>
    <row r="833" spans="4:8" ht="15.75">
      <c r="D833" s="85"/>
      <c r="E833" s="85"/>
      <c r="F833" s="85"/>
      <c r="G833" s="85"/>
      <c r="H833" s="85"/>
    </row>
    <row r="834" spans="4:8" ht="15.75">
      <c r="D834" s="85"/>
      <c r="E834" s="85"/>
      <c r="F834" s="85"/>
      <c r="G834" s="85"/>
      <c r="H834" s="85"/>
    </row>
    <row r="835" spans="4:8" ht="15.75">
      <c r="D835" s="85"/>
      <c r="E835" s="85"/>
      <c r="F835" s="85"/>
      <c r="G835" s="85"/>
      <c r="H835" s="85"/>
    </row>
    <row r="836" spans="4:8" ht="15.75">
      <c r="D836" s="85"/>
      <c r="E836" s="85"/>
      <c r="F836" s="85"/>
      <c r="G836" s="85"/>
      <c r="H836" s="85"/>
    </row>
    <row r="837" spans="4:8" ht="15.75">
      <c r="D837" s="85"/>
      <c r="E837" s="85"/>
      <c r="F837" s="85"/>
      <c r="G837" s="85"/>
      <c r="H837" s="85"/>
    </row>
    <row r="838" spans="4:8" ht="15.75">
      <c r="D838" s="85"/>
      <c r="E838" s="85"/>
      <c r="F838" s="85"/>
      <c r="G838" s="85"/>
      <c r="H838" s="85"/>
    </row>
    <row r="839" spans="4:8" ht="15.75">
      <c r="D839" s="85"/>
      <c r="E839" s="85"/>
      <c r="F839" s="85"/>
      <c r="G839" s="85"/>
      <c r="H839" s="85"/>
    </row>
    <row r="840" spans="4:8" ht="15.75">
      <c r="D840" s="85"/>
      <c r="E840" s="85"/>
      <c r="F840" s="85"/>
      <c r="G840" s="85"/>
      <c r="H840" s="85"/>
    </row>
    <row r="841" spans="4:8" ht="15.75">
      <c r="D841" s="85"/>
      <c r="E841" s="85"/>
      <c r="F841" s="85"/>
      <c r="G841" s="85"/>
      <c r="H841" s="85"/>
    </row>
    <row r="842" spans="4:8" ht="15.75">
      <c r="D842" s="85"/>
      <c r="E842" s="85"/>
      <c r="F842" s="85"/>
      <c r="G842" s="85"/>
      <c r="H842" s="85"/>
    </row>
    <row r="843" spans="4:8" ht="15.75">
      <c r="D843" s="85"/>
      <c r="E843" s="85"/>
      <c r="F843" s="85"/>
      <c r="G843" s="85"/>
      <c r="H843" s="85"/>
    </row>
    <row r="844" spans="4:8" ht="15.75">
      <c r="D844" s="85"/>
      <c r="E844" s="85"/>
      <c r="F844" s="85"/>
      <c r="G844" s="85"/>
      <c r="H844" s="85"/>
    </row>
    <row r="845" spans="4:8" ht="15.75">
      <c r="D845" s="85"/>
      <c r="E845" s="85"/>
      <c r="F845" s="85"/>
      <c r="G845" s="85"/>
      <c r="H845" s="85"/>
    </row>
    <row r="846" spans="4:8" ht="15.75">
      <c r="D846" s="85"/>
      <c r="E846" s="85"/>
      <c r="F846" s="85"/>
      <c r="G846" s="85"/>
      <c r="H846" s="85"/>
    </row>
    <row r="847" spans="4:8" ht="15.75">
      <c r="D847" s="85"/>
      <c r="E847" s="85"/>
      <c r="F847" s="85"/>
      <c r="G847" s="85"/>
      <c r="H847" s="85"/>
    </row>
    <row r="848" spans="4:8" ht="15.75">
      <c r="D848" s="85"/>
      <c r="E848" s="85"/>
      <c r="F848" s="85"/>
      <c r="G848" s="85"/>
      <c r="H848" s="85"/>
    </row>
    <row r="849" spans="4:8" ht="15.75">
      <c r="D849" s="85"/>
      <c r="E849" s="85"/>
      <c r="F849" s="85"/>
      <c r="G849" s="85"/>
      <c r="H849" s="85"/>
    </row>
    <row r="850" spans="4:8" ht="15.75">
      <c r="D850" s="85"/>
      <c r="E850" s="85"/>
      <c r="F850" s="85"/>
      <c r="G850" s="85"/>
      <c r="H850" s="85"/>
    </row>
    <row r="851" spans="4:8" ht="15.75">
      <c r="D851" s="85"/>
      <c r="E851" s="85"/>
      <c r="F851" s="85"/>
      <c r="G851" s="85"/>
      <c r="H851" s="85"/>
    </row>
    <row r="852" spans="4:8" ht="15.75">
      <c r="D852" s="85"/>
      <c r="E852" s="85"/>
      <c r="F852" s="85"/>
      <c r="G852" s="85"/>
      <c r="H852" s="85"/>
    </row>
    <row r="853" spans="4:8" ht="15.75">
      <c r="D853" s="85"/>
      <c r="E853" s="85"/>
      <c r="F853" s="85"/>
      <c r="G853" s="85"/>
      <c r="H853" s="85"/>
    </row>
    <row r="854" spans="4:8" ht="15.75">
      <c r="D854" s="85"/>
      <c r="E854" s="85"/>
      <c r="F854" s="85"/>
      <c r="G854" s="85"/>
      <c r="H854" s="85"/>
    </row>
    <row r="855" spans="4:8" ht="15.75">
      <c r="D855" s="85"/>
      <c r="E855" s="85"/>
      <c r="F855" s="85"/>
      <c r="G855" s="85"/>
      <c r="H855" s="85"/>
    </row>
    <row r="856" spans="4:8" ht="15.75">
      <c r="D856" s="85"/>
      <c r="E856" s="85"/>
      <c r="F856" s="85"/>
      <c r="G856" s="85"/>
      <c r="H856" s="85"/>
    </row>
    <row r="857" spans="4:8" ht="15.75">
      <c r="D857" s="85"/>
      <c r="E857" s="85"/>
      <c r="F857" s="85"/>
      <c r="G857" s="85"/>
      <c r="H857" s="85"/>
    </row>
    <row r="858" spans="4:8" ht="15.75">
      <c r="D858" s="85"/>
      <c r="E858" s="85"/>
      <c r="F858" s="85"/>
      <c r="G858" s="85"/>
      <c r="H858" s="85"/>
    </row>
    <row r="859" spans="4:8" ht="15.75">
      <c r="D859" s="85"/>
      <c r="E859" s="85"/>
      <c r="F859" s="85"/>
      <c r="G859" s="85"/>
      <c r="H859" s="85"/>
    </row>
    <row r="860" spans="4:8" ht="15.75">
      <c r="D860" s="85"/>
      <c r="E860" s="85"/>
      <c r="F860" s="85"/>
      <c r="G860" s="85"/>
      <c r="H860" s="85"/>
    </row>
    <row r="861" spans="4:8" ht="15.75">
      <c r="D861" s="85"/>
      <c r="E861" s="85"/>
      <c r="F861" s="85"/>
      <c r="G861" s="85"/>
      <c r="H861" s="85"/>
    </row>
    <row r="862" spans="4:8" ht="15.75">
      <c r="D862" s="85"/>
      <c r="E862" s="85"/>
      <c r="F862" s="85"/>
      <c r="G862" s="85"/>
      <c r="H862" s="85"/>
    </row>
    <row r="863" spans="4:8" ht="15.75">
      <c r="D863" s="85"/>
      <c r="E863" s="85"/>
      <c r="F863" s="85"/>
      <c r="G863" s="85"/>
      <c r="H863" s="85"/>
    </row>
    <row r="864" spans="4:8" ht="15.75">
      <c r="D864" s="85"/>
      <c r="E864" s="85"/>
      <c r="F864" s="85"/>
      <c r="G864" s="85"/>
      <c r="H864" s="85"/>
    </row>
    <row r="865" spans="4:8" ht="15.75">
      <c r="D865" s="85"/>
      <c r="E865" s="85"/>
      <c r="F865" s="85"/>
      <c r="G865" s="85"/>
      <c r="H865" s="85"/>
    </row>
    <row r="866" spans="4:8" ht="15.75">
      <c r="D866" s="85"/>
      <c r="E866" s="85"/>
      <c r="F866" s="85"/>
      <c r="G866" s="85"/>
      <c r="H866" s="85"/>
    </row>
    <row r="867" spans="4:8" ht="15.75">
      <c r="D867" s="85"/>
      <c r="E867" s="85"/>
      <c r="F867" s="85"/>
      <c r="G867" s="85"/>
      <c r="H867" s="85"/>
    </row>
    <row r="868" spans="4:8" ht="15.75">
      <c r="D868" s="85"/>
      <c r="E868" s="85"/>
      <c r="F868" s="85"/>
      <c r="G868" s="85"/>
      <c r="H868" s="85"/>
    </row>
    <row r="869" spans="4:8" ht="15.75">
      <c r="D869" s="85"/>
      <c r="E869" s="85"/>
      <c r="F869" s="85"/>
      <c r="G869" s="85"/>
      <c r="H869" s="85"/>
    </row>
    <row r="870" spans="4:8" ht="15.75">
      <c r="D870" s="85"/>
      <c r="E870" s="85"/>
      <c r="F870" s="85"/>
      <c r="G870" s="85"/>
      <c r="H870" s="85"/>
    </row>
    <row r="871" spans="4:8" ht="15.75">
      <c r="D871" s="85"/>
      <c r="E871" s="85"/>
      <c r="F871" s="85"/>
      <c r="G871" s="85"/>
      <c r="H871" s="85"/>
    </row>
    <row r="872" spans="4:8" ht="15.75">
      <c r="D872" s="85"/>
      <c r="E872" s="85"/>
      <c r="F872" s="85"/>
      <c r="G872" s="85"/>
      <c r="H872" s="85"/>
    </row>
    <row r="873" spans="4:8" ht="15.75">
      <c r="D873" s="85"/>
      <c r="E873" s="85"/>
      <c r="F873" s="85"/>
      <c r="G873" s="85"/>
      <c r="H873" s="85"/>
    </row>
    <row r="874" spans="4:8" ht="15.75">
      <c r="D874" s="85"/>
      <c r="E874" s="85"/>
      <c r="F874" s="85"/>
      <c r="G874" s="85"/>
      <c r="H874" s="85"/>
    </row>
    <row r="875" spans="4:8" ht="15.75">
      <c r="D875" s="85"/>
      <c r="E875" s="85"/>
      <c r="F875" s="85"/>
      <c r="G875" s="85"/>
      <c r="H875" s="85"/>
    </row>
    <row r="876" spans="4:8" ht="15.75">
      <c r="D876" s="85"/>
      <c r="E876" s="85"/>
      <c r="F876" s="85"/>
      <c r="G876" s="85"/>
      <c r="H876" s="85"/>
    </row>
    <row r="877" spans="4:8" ht="15.75">
      <c r="D877" s="85"/>
      <c r="E877" s="85"/>
      <c r="F877" s="85"/>
      <c r="G877" s="85"/>
      <c r="H877" s="85"/>
    </row>
    <row r="878" spans="4:8" ht="15.75">
      <c r="D878" s="85"/>
      <c r="E878" s="85"/>
      <c r="F878" s="85"/>
      <c r="G878" s="85"/>
      <c r="H878" s="85"/>
    </row>
    <row r="879" spans="4:8" ht="15.75">
      <c r="D879" s="85"/>
      <c r="E879" s="85"/>
      <c r="F879" s="85"/>
      <c r="G879" s="85"/>
      <c r="H879" s="85"/>
    </row>
    <row r="880" spans="4:8" ht="15.75">
      <c r="D880" s="85"/>
      <c r="E880" s="85"/>
      <c r="F880" s="85"/>
      <c r="G880" s="85"/>
      <c r="H880" s="85"/>
    </row>
    <row r="881" spans="4:8" ht="15.75">
      <c r="D881" s="85"/>
      <c r="E881" s="85"/>
      <c r="F881" s="85"/>
      <c r="G881" s="85"/>
      <c r="H881" s="85"/>
    </row>
    <row r="882" spans="4:8" ht="15.75">
      <c r="D882" s="85"/>
      <c r="E882" s="85"/>
      <c r="F882" s="85"/>
      <c r="G882" s="85"/>
      <c r="H882" s="85"/>
    </row>
    <row r="883" spans="4:8" ht="15.75">
      <c r="D883" s="85"/>
      <c r="E883" s="85"/>
      <c r="F883" s="85"/>
      <c r="G883" s="85"/>
      <c r="H883" s="85"/>
    </row>
    <row r="884" spans="4:8" ht="15.75">
      <c r="D884" s="85"/>
      <c r="E884" s="85"/>
      <c r="F884" s="85"/>
      <c r="G884" s="85"/>
      <c r="H884" s="85"/>
    </row>
    <row r="885" spans="4:8" ht="15.75">
      <c r="D885" s="85"/>
      <c r="E885" s="85"/>
      <c r="F885" s="85"/>
      <c r="G885" s="85"/>
      <c r="H885" s="85"/>
    </row>
    <row r="886" spans="4:8" ht="15.75">
      <c r="D886" s="85"/>
      <c r="E886" s="85"/>
      <c r="F886" s="85"/>
      <c r="G886" s="85"/>
      <c r="H886" s="85"/>
    </row>
    <row r="887" spans="4:8" ht="15.75">
      <c r="D887" s="85"/>
      <c r="E887" s="85"/>
      <c r="F887" s="85"/>
      <c r="G887" s="85"/>
      <c r="H887" s="85"/>
    </row>
    <row r="888" spans="4:8" ht="15.75">
      <c r="D888" s="85"/>
      <c r="E888" s="85"/>
      <c r="F888" s="85"/>
      <c r="G888" s="85"/>
      <c r="H888" s="85"/>
    </row>
    <row r="889" spans="4:8" ht="15.75">
      <c r="D889" s="85"/>
      <c r="E889" s="85"/>
      <c r="F889" s="85"/>
      <c r="G889" s="85"/>
      <c r="H889" s="85"/>
    </row>
    <row r="890" spans="4:8" ht="15.75">
      <c r="D890" s="85"/>
      <c r="E890" s="85"/>
      <c r="F890" s="85"/>
      <c r="G890" s="85"/>
      <c r="H890" s="85"/>
    </row>
    <row r="891" spans="4:8" ht="15.75">
      <c r="D891" s="85"/>
      <c r="E891" s="85"/>
      <c r="F891" s="85"/>
      <c r="G891" s="85"/>
      <c r="H891" s="85"/>
    </row>
    <row r="892" spans="4:8" ht="15.75">
      <c r="D892" s="85"/>
      <c r="E892" s="85"/>
      <c r="F892" s="85"/>
      <c r="G892" s="85"/>
      <c r="H892" s="85"/>
    </row>
    <row r="893" spans="4:8" ht="15.75">
      <c r="D893" s="85"/>
      <c r="E893" s="85"/>
      <c r="F893" s="85"/>
      <c r="G893" s="85"/>
      <c r="H893" s="85"/>
    </row>
    <row r="894" spans="4:8" ht="15.75">
      <c r="D894" s="85"/>
      <c r="E894" s="85"/>
      <c r="F894" s="85"/>
      <c r="G894" s="85"/>
      <c r="H894" s="85"/>
    </row>
    <row r="895" spans="4:8" ht="15.75">
      <c r="D895" s="85"/>
      <c r="E895" s="85"/>
      <c r="F895" s="85"/>
      <c r="G895" s="85"/>
      <c r="H895" s="85"/>
    </row>
    <row r="896" spans="4:8" ht="15.75">
      <c r="D896" s="85"/>
      <c r="E896" s="85"/>
      <c r="F896" s="85"/>
      <c r="G896" s="85"/>
      <c r="H896" s="85"/>
    </row>
    <row r="897" spans="4:8" ht="15.75">
      <c r="D897" s="85"/>
      <c r="E897" s="85"/>
      <c r="F897" s="85"/>
      <c r="G897" s="85"/>
      <c r="H897" s="85"/>
    </row>
    <row r="898" spans="4:8" ht="15.75">
      <c r="D898" s="85"/>
      <c r="E898" s="85"/>
      <c r="F898" s="85"/>
      <c r="G898" s="85"/>
      <c r="H898" s="85"/>
    </row>
    <row r="899" spans="4:8" ht="15.75">
      <c r="D899" s="85"/>
      <c r="E899" s="85"/>
      <c r="F899" s="85"/>
      <c r="G899" s="85"/>
      <c r="H899" s="85"/>
    </row>
    <row r="900" spans="4:8" ht="15.75">
      <c r="D900" s="85"/>
      <c r="E900" s="85"/>
      <c r="F900" s="85"/>
      <c r="G900" s="85"/>
      <c r="H900" s="85"/>
    </row>
    <row r="901" spans="4:8" ht="15.75">
      <c r="D901" s="85"/>
      <c r="E901" s="85"/>
      <c r="F901" s="85"/>
      <c r="G901" s="85"/>
      <c r="H901" s="85"/>
    </row>
    <row r="902" spans="4:8" ht="15.75">
      <c r="D902" s="85"/>
      <c r="E902" s="85"/>
      <c r="F902" s="85"/>
      <c r="G902" s="85"/>
      <c r="H902" s="85"/>
    </row>
    <row r="903" spans="4:8" ht="15.75">
      <c r="D903" s="85"/>
      <c r="E903" s="85"/>
      <c r="F903" s="85"/>
      <c r="G903" s="85"/>
      <c r="H903" s="85"/>
    </row>
    <row r="904" spans="4:8" ht="15.75">
      <c r="D904" s="85"/>
      <c r="E904" s="85"/>
      <c r="F904" s="85"/>
      <c r="G904" s="85"/>
      <c r="H904" s="85"/>
    </row>
    <row r="905" spans="4:8" ht="15.75">
      <c r="D905" s="85"/>
      <c r="E905" s="85"/>
      <c r="F905" s="85"/>
      <c r="G905" s="85"/>
      <c r="H905" s="85"/>
    </row>
    <row r="906" spans="4:8" ht="15.75">
      <c r="D906" s="85"/>
      <c r="E906" s="85"/>
      <c r="F906" s="85"/>
      <c r="G906" s="85"/>
      <c r="H906" s="85"/>
    </row>
    <row r="907" spans="4:8" ht="15.75">
      <c r="D907" s="85"/>
      <c r="E907" s="85"/>
      <c r="F907" s="85"/>
      <c r="G907" s="85"/>
      <c r="H907" s="85"/>
    </row>
    <row r="908" spans="4:8" ht="15.75">
      <c r="D908" s="85"/>
      <c r="E908" s="85"/>
      <c r="F908" s="85"/>
      <c r="G908" s="85"/>
      <c r="H908" s="85"/>
    </row>
    <row r="909" spans="4:8" ht="15.75">
      <c r="D909" s="85"/>
      <c r="E909" s="85"/>
      <c r="F909" s="85"/>
      <c r="G909" s="85"/>
      <c r="H909" s="85"/>
    </row>
    <row r="910" spans="4:8" ht="15.75">
      <c r="D910" s="85"/>
      <c r="E910" s="85"/>
      <c r="F910" s="85"/>
      <c r="G910" s="85"/>
      <c r="H910" s="85"/>
    </row>
    <row r="911" spans="4:8" ht="15.75">
      <c r="D911" s="85"/>
      <c r="E911" s="85"/>
      <c r="F911" s="85"/>
      <c r="G911" s="85"/>
      <c r="H911" s="85"/>
    </row>
    <row r="912" spans="4:8" ht="15.75">
      <c r="D912" s="85"/>
      <c r="E912" s="85"/>
      <c r="F912" s="85"/>
      <c r="G912" s="85"/>
      <c r="H912" s="85"/>
    </row>
    <row r="913" spans="4:8" ht="15.75">
      <c r="D913" s="85"/>
      <c r="E913" s="85"/>
      <c r="F913" s="85"/>
      <c r="G913" s="85"/>
      <c r="H913" s="85"/>
    </row>
    <row r="914" spans="4:8" ht="15.75">
      <c r="D914" s="85"/>
      <c r="E914" s="85"/>
      <c r="F914" s="85"/>
      <c r="G914" s="85"/>
      <c r="H914" s="85"/>
    </row>
    <row r="915" spans="4:8" ht="15.75">
      <c r="D915" s="85"/>
      <c r="E915" s="85"/>
      <c r="F915" s="85"/>
      <c r="G915" s="85"/>
      <c r="H915" s="85"/>
    </row>
    <row r="916" spans="4:8" ht="15.75">
      <c r="D916" s="85"/>
      <c r="E916" s="85"/>
      <c r="F916" s="85"/>
      <c r="G916" s="85"/>
      <c r="H916" s="85"/>
    </row>
    <row r="917" spans="4:8" ht="15.75">
      <c r="D917" s="85"/>
      <c r="E917" s="85"/>
      <c r="F917" s="85"/>
      <c r="G917" s="85"/>
      <c r="H917" s="85"/>
    </row>
    <row r="918" spans="4:8" ht="15.75">
      <c r="D918" s="85"/>
      <c r="E918" s="85"/>
      <c r="F918" s="85"/>
      <c r="G918" s="85"/>
      <c r="H918" s="85"/>
    </row>
    <row r="919" spans="4:8" ht="15.75">
      <c r="D919" s="85"/>
      <c r="E919" s="85"/>
      <c r="F919" s="85"/>
      <c r="G919" s="85"/>
      <c r="H919" s="85"/>
    </row>
    <row r="920" spans="4:8" ht="15.75">
      <c r="D920" s="85"/>
      <c r="E920" s="85"/>
      <c r="F920" s="85"/>
      <c r="G920" s="85"/>
      <c r="H920" s="85"/>
    </row>
    <row r="921" spans="4:8" ht="15.75">
      <c r="D921" s="85"/>
      <c r="E921" s="85"/>
      <c r="F921" s="85"/>
      <c r="G921" s="85"/>
      <c r="H921" s="85"/>
    </row>
    <row r="922" spans="4:8" ht="15.75">
      <c r="D922" s="85"/>
      <c r="E922" s="85"/>
      <c r="F922" s="85"/>
      <c r="G922" s="85"/>
      <c r="H922" s="85"/>
    </row>
    <row r="923" spans="4:8" ht="15.75">
      <c r="D923" s="85"/>
      <c r="E923" s="85"/>
      <c r="F923" s="85"/>
      <c r="G923" s="85"/>
      <c r="H923" s="85"/>
    </row>
    <row r="924" spans="4:8" ht="15.75">
      <c r="D924" s="85"/>
      <c r="E924" s="85"/>
      <c r="F924" s="85"/>
      <c r="G924" s="85"/>
      <c r="H924" s="85"/>
    </row>
    <row r="925" spans="4:8" ht="15.75">
      <c r="D925" s="85"/>
      <c r="E925" s="85"/>
      <c r="F925" s="85"/>
      <c r="G925" s="85"/>
      <c r="H925" s="85"/>
    </row>
    <row r="926" spans="4:8" ht="15.75">
      <c r="D926" s="85"/>
      <c r="E926" s="85"/>
      <c r="F926" s="85"/>
      <c r="G926" s="85"/>
      <c r="H926" s="85"/>
    </row>
    <row r="927" spans="4:8" ht="15.75">
      <c r="D927" s="85"/>
      <c r="E927" s="85"/>
      <c r="F927" s="85"/>
      <c r="G927" s="85"/>
      <c r="H927" s="85"/>
    </row>
    <row r="928" spans="4:8" ht="15.75">
      <c r="D928" s="85"/>
      <c r="E928" s="85"/>
      <c r="F928" s="85"/>
      <c r="G928" s="85"/>
      <c r="H928" s="85"/>
    </row>
    <row r="929" spans="4:8" ht="15.75">
      <c r="D929" s="85"/>
      <c r="E929" s="85"/>
      <c r="F929" s="85"/>
      <c r="G929" s="85"/>
      <c r="H929" s="85"/>
    </row>
    <row r="930" spans="4:8" ht="15.75">
      <c r="D930" s="85"/>
      <c r="E930" s="85"/>
      <c r="F930" s="85"/>
      <c r="G930" s="85"/>
      <c r="H930" s="85"/>
    </row>
    <row r="931" spans="4:8" ht="15.75">
      <c r="D931" s="85"/>
      <c r="E931" s="85"/>
      <c r="F931" s="85"/>
      <c r="G931" s="85"/>
      <c r="H931" s="85"/>
    </row>
    <row r="932" spans="4:8" ht="15.75">
      <c r="D932" s="85"/>
      <c r="E932" s="85"/>
      <c r="F932" s="85"/>
      <c r="G932" s="85"/>
      <c r="H932" s="85"/>
    </row>
    <row r="933" spans="4:8" ht="15.75">
      <c r="D933" s="85"/>
      <c r="E933" s="85"/>
      <c r="F933" s="85"/>
      <c r="G933" s="85"/>
      <c r="H933" s="85"/>
    </row>
    <row r="934" spans="4:8" ht="15.75">
      <c r="D934" s="85"/>
      <c r="E934" s="85"/>
      <c r="F934" s="85"/>
      <c r="G934" s="85"/>
      <c r="H934" s="85"/>
    </row>
    <row r="935" spans="4:8" ht="15.75">
      <c r="D935" s="85"/>
      <c r="E935" s="85"/>
      <c r="F935" s="85"/>
      <c r="G935" s="85"/>
      <c r="H935" s="85"/>
    </row>
    <row r="936" spans="4:8" ht="15.75">
      <c r="D936" s="85"/>
      <c r="E936" s="85"/>
      <c r="F936" s="85"/>
      <c r="G936" s="85"/>
      <c r="H936" s="85"/>
    </row>
    <row r="937" spans="4:8" ht="15.75">
      <c r="D937" s="85"/>
      <c r="E937" s="85"/>
      <c r="F937" s="85"/>
      <c r="G937" s="85"/>
      <c r="H937" s="85"/>
    </row>
    <row r="938" spans="4:8" ht="15.75">
      <c r="D938" s="85"/>
      <c r="E938" s="85"/>
      <c r="F938" s="85"/>
      <c r="G938" s="85"/>
      <c r="H938" s="85"/>
    </row>
    <row r="939" spans="4:8" ht="15.75">
      <c r="D939" s="85"/>
      <c r="E939" s="85"/>
      <c r="F939" s="85"/>
      <c r="G939" s="85"/>
      <c r="H939" s="85"/>
    </row>
    <row r="940" spans="4:8" ht="15.75">
      <c r="D940" s="85"/>
      <c r="E940" s="85"/>
      <c r="F940" s="85"/>
      <c r="G940" s="85"/>
      <c r="H940" s="85"/>
    </row>
    <row r="941" spans="4:8" ht="15.75">
      <c r="D941" s="85"/>
      <c r="E941" s="85"/>
      <c r="F941" s="85"/>
      <c r="G941" s="85"/>
      <c r="H941" s="85"/>
    </row>
    <row r="942" spans="4:8" ht="15.75">
      <c r="D942" s="85"/>
      <c r="E942" s="85"/>
      <c r="F942" s="85"/>
      <c r="G942" s="85"/>
      <c r="H942" s="85"/>
    </row>
    <row r="943" spans="4:8" ht="15.75">
      <c r="D943" s="85"/>
      <c r="E943" s="85"/>
      <c r="F943" s="85"/>
      <c r="G943" s="85"/>
      <c r="H943" s="85"/>
    </row>
    <row r="944" spans="4:8" ht="15.75">
      <c r="D944" s="85"/>
      <c r="E944" s="85"/>
      <c r="F944" s="85"/>
      <c r="G944" s="85"/>
      <c r="H944" s="85"/>
    </row>
    <row r="945" spans="4:8" ht="15.75">
      <c r="D945" s="85"/>
      <c r="E945" s="85"/>
      <c r="F945" s="85"/>
      <c r="G945" s="85"/>
      <c r="H945" s="85"/>
    </row>
    <row r="946" spans="4:8" ht="15.75">
      <c r="D946" s="85"/>
      <c r="E946" s="85"/>
      <c r="F946" s="85"/>
      <c r="G946" s="85"/>
      <c r="H946" s="85"/>
    </row>
    <row r="947" spans="4:8" ht="15.75">
      <c r="D947" s="85"/>
      <c r="E947" s="85"/>
      <c r="F947" s="85"/>
      <c r="G947" s="85"/>
      <c r="H947" s="85"/>
    </row>
    <row r="948" spans="4:8" ht="15.75">
      <c r="D948" s="85"/>
      <c r="E948" s="85"/>
      <c r="F948" s="85"/>
      <c r="G948" s="85"/>
      <c r="H948" s="85"/>
    </row>
    <row r="949" spans="4:8" ht="15.75">
      <c r="D949" s="85"/>
      <c r="E949" s="85"/>
      <c r="F949" s="85"/>
      <c r="G949" s="85"/>
      <c r="H949" s="85"/>
    </row>
    <row r="950" spans="4:8" ht="15.75">
      <c r="D950" s="85"/>
      <c r="E950" s="85"/>
      <c r="F950" s="85"/>
      <c r="G950" s="85"/>
      <c r="H950" s="85"/>
    </row>
    <row r="951" spans="4:8" ht="15.75">
      <c r="D951" s="85"/>
      <c r="E951" s="85"/>
      <c r="F951" s="85"/>
      <c r="G951" s="85"/>
      <c r="H951" s="85"/>
    </row>
    <row r="952" spans="4:8" ht="15.75">
      <c r="D952" s="85"/>
      <c r="E952" s="85"/>
      <c r="F952" s="85"/>
      <c r="G952" s="85"/>
      <c r="H952" s="85"/>
    </row>
    <row r="953" spans="4:8" ht="15.75">
      <c r="D953" s="85"/>
      <c r="E953" s="85"/>
      <c r="F953" s="85"/>
      <c r="G953" s="85"/>
      <c r="H953" s="85"/>
    </row>
    <row r="954" spans="4:8" ht="15.75">
      <c r="D954" s="85"/>
      <c r="E954" s="85"/>
      <c r="F954" s="85"/>
      <c r="G954" s="85"/>
      <c r="H954" s="85"/>
    </row>
    <row r="955" spans="4:8" ht="15.75">
      <c r="D955" s="85"/>
      <c r="E955" s="85"/>
      <c r="F955" s="85"/>
      <c r="G955" s="85"/>
      <c r="H955" s="85"/>
    </row>
    <row r="956" spans="4:8" ht="15.75">
      <c r="D956" s="85"/>
      <c r="E956" s="85"/>
      <c r="F956" s="85"/>
      <c r="G956" s="85"/>
      <c r="H956" s="85"/>
    </row>
    <row r="957" spans="4:8" ht="15.75">
      <c r="D957" s="85"/>
      <c r="E957" s="85"/>
      <c r="F957" s="85"/>
      <c r="G957" s="85"/>
      <c r="H957" s="85"/>
    </row>
    <row r="958" spans="4:8" ht="15.75">
      <c r="D958" s="85"/>
      <c r="E958" s="85"/>
      <c r="F958" s="85"/>
      <c r="G958" s="85"/>
      <c r="H958" s="85"/>
    </row>
    <row r="959" spans="4:8" ht="15.75">
      <c r="D959" s="85"/>
      <c r="E959" s="85"/>
      <c r="F959" s="85"/>
      <c r="G959" s="85"/>
      <c r="H959" s="85"/>
    </row>
  </sheetData>
  <mergeCells count="33">
    <mergeCell ref="D4:H4"/>
    <mergeCell ref="D5:H5"/>
    <mergeCell ref="D6:H6"/>
    <mergeCell ref="D7:H7"/>
    <mergeCell ref="D13:H13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132:G132"/>
    <mergeCell ref="D133:G133"/>
    <mergeCell ref="D30:H30"/>
    <mergeCell ref="D127:G127"/>
    <mergeCell ref="I127:R127"/>
    <mergeCell ref="D128:G128"/>
    <mergeCell ref="D129:G129"/>
    <mergeCell ref="D130:G130"/>
    <mergeCell ref="D131:G131"/>
  </mergeCells>
  <dataValidations count="13">
    <dataValidation type="list" allowBlank="1" showErrorMessage="1" sqref="D127">
      <formula1>#REF!</formula1>
    </dataValidation>
    <dataValidation type="list" allowBlank="1" showErrorMessage="1" sqref="D128">
      <formula1>#REF!</formula1>
    </dataValidation>
    <dataValidation type="list" allowBlank="1" showErrorMessage="1" sqref="D20">
      <formula1>#REF!</formula1>
    </dataValidation>
    <dataValidation type="list" allowBlank="1" showErrorMessage="1" sqref="D14">
      <formula1>#REF!</formula1>
    </dataValidation>
    <dataValidation type="list" allowBlank="1" showErrorMessage="1" sqref="D15">
      <formula1>#REF!</formula1>
    </dataValidation>
    <dataValidation type="list" allowBlank="1" showErrorMessage="1" sqref="B53 B55 B58">
      <formula1>#REF!</formula1>
    </dataValidation>
    <dataValidation type="list" allowBlank="1" showErrorMessage="1" sqref="D18">
      <formula1>#REF!</formula1>
    </dataValidation>
    <dataValidation type="list" allowBlank="1" showErrorMessage="1" sqref="B35 D129">
      <formula1>#REF!</formula1>
    </dataValidation>
    <dataValidation type="list" allowBlank="1" showErrorMessage="1" sqref="D16">
      <formula1>#REF!</formula1>
    </dataValidation>
    <dataValidation type="list" allowBlank="1" showErrorMessage="1" sqref="D22">
      <formula1>#REF!</formula1>
    </dataValidation>
    <dataValidation type="list" allowBlank="1" showErrorMessage="1" sqref="D21">
      <formula1>#REF!</formula1>
    </dataValidation>
    <dataValidation type="list" allowBlank="1" showErrorMessage="1" sqref="D131">
      <formula1>#REF!</formula1>
    </dataValidation>
    <dataValidation type="list" allowBlank="1" showErrorMessage="1" sqref="D17">
      <formula1>#REF!</formula1>
    </dataValidation>
  </dataValidations>
  <printOptions gridLines="1"/>
  <pageMargins left="0.31496062992125984" right="0.31496062992125984" top="0" bottom="0.74803149606299213" header="0" footer="0"/>
  <pageSetup paperSize="5" scale="4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59"/>
  <sheetViews>
    <sheetView workbookViewId="0"/>
  </sheetViews>
  <sheetFormatPr baseColWidth="10" defaultColWidth="14.42578125" defaultRowHeight="15" customHeight="1"/>
  <cols>
    <col min="1" max="1" width="7" customWidth="1"/>
    <col min="2" max="2" width="17.85546875" customWidth="1"/>
    <col min="3" max="3" width="51.28515625" customWidth="1"/>
    <col min="4" max="4" width="25.140625" customWidth="1"/>
    <col min="5" max="5" width="26.85546875" customWidth="1"/>
    <col min="6" max="6" width="22.5703125" customWidth="1"/>
    <col min="7" max="7" width="21.7109375" customWidth="1"/>
    <col min="8" max="8" width="21.140625" customWidth="1"/>
    <col min="9" max="9" width="29" customWidth="1"/>
    <col min="10" max="10" width="25.5703125" customWidth="1"/>
    <col min="11" max="11" width="29.85546875" customWidth="1"/>
    <col min="12" max="12" width="20.85546875" customWidth="1"/>
    <col min="13" max="13" width="21.28515625" customWidth="1"/>
    <col min="14" max="14" width="19.5703125" customWidth="1"/>
    <col min="15" max="15" width="19.42578125" customWidth="1"/>
    <col min="16" max="16" width="18.5703125" customWidth="1"/>
    <col min="17" max="17" width="23" customWidth="1"/>
    <col min="18" max="18" width="18.85546875" customWidth="1"/>
    <col min="19" max="19" width="14" customWidth="1"/>
    <col min="20" max="32" width="10.7109375" customWidth="1"/>
  </cols>
  <sheetData>
    <row r="1" spans="1:32" ht="15.75">
      <c r="A1" s="49"/>
      <c r="B1" s="50"/>
      <c r="C1" s="50"/>
      <c r="D1" s="51"/>
      <c r="E1" s="51"/>
      <c r="F1" s="51"/>
      <c r="G1" s="51"/>
      <c r="H1" s="51"/>
      <c r="I1" s="50"/>
      <c r="J1" s="52"/>
      <c r="K1" s="52"/>
      <c r="L1" s="50"/>
      <c r="M1" s="50"/>
      <c r="N1" s="52"/>
      <c r="O1" s="52"/>
      <c r="P1" s="52"/>
      <c r="Q1" s="50"/>
      <c r="R1" s="50"/>
      <c r="AF1" s="99"/>
    </row>
    <row r="2" spans="1:32" ht="15.75">
      <c r="A2" s="49"/>
      <c r="B2" s="50"/>
      <c r="C2" s="50"/>
      <c r="D2" s="51"/>
      <c r="E2" s="51"/>
      <c r="F2" s="51"/>
      <c r="G2" s="51"/>
      <c r="H2" s="51"/>
      <c r="I2" s="50"/>
      <c r="J2" s="52"/>
      <c r="K2" s="52"/>
      <c r="L2" s="50"/>
      <c r="M2" s="50"/>
      <c r="N2" s="52"/>
      <c r="O2" s="52"/>
      <c r="P2" s="52"/>
      <c r="Q2" s="50"/>
      <c r="R2" s="50"/>
      <c r="AF2" s="99"/>
    </row>
    <row r="3" spans="1:32" ht="15.75">
      <c r="A3" s="49"/>
      <c r="B3" s="50"/>
      <c r="C3" s="50"/>
      <c r="D3" s="51"/>
      <c r="E3" s="51"/>
      <c r="F3" s="51"/>
      <c r="G3" s="51"/>
      <c r="H3" s="51"/>
      <c r="I3" s="50"/>
      <c r="J3" s="52"/>
      <c r="K3" s="52"/>
      <c r="L3" s="50"/>
      <c r="M3" s="50"/>
      <c r="N3" s="52"/>
      <c r="O3" s="52"/>
      <c r="P3" s="52"/>
      <c r="Q3" s="50"/>
      <c r="R3" s="50"/>
      <c r="AF3" s="99"/>
    </row>
    <row r="4" spans="1:32" ht="15.75">
      <c r="A4" s="49"/>
      <c r="B4" s="50"/>
      <c r="C4" s="50"/>
      <c r="D4" s="165" t="s">
        <v>0</v>
      </c>
      <c r="E4" s="166"/>
      <c r="F4" s="166"/>
      <c r="G4" s="166"/>
      <c r="H4" s="166"/>
      <c r="I4" s="50"/>
      <c r="J4" s="52"/>
      <c r="K4" s="52"/>
      <c r="L4" s="50"/>
      <c r="M4" s="50"/>
      <c r="N4" s="52"/>
      <c r="O4" s="52"/>
      <c r="P4" s="52"/>
      <c r="Q4" s="50"/>
      <c r="R4" s="50"/>
      <c r="AF4" s="99"/>
    </row>
    <row r="5" spans="1:32" ht="15.75">
      <c r="A5" s="49"/>
      <c r="B5" s="50"/>
      <c r="C5" s="50"/>
      <c r="D5" s="165" t="s">
        <v>1</v>
      </c>
      <c r="E5" s="166"/>
      <c r="F5" s="166"/>
      <c r="G5" s="166"/>
      <c r="H5" s="166"/>
      <c r="I5" s="50"/>
      <c r="J5" s="52"/>
      <c r="K5" s="52"/>
      <c r="L5" s="50"/>
      <c r="M5" s="50"/>
      <c r="N5" s="52"/>
      <c r="O5" s="52"/>
      <c r="P5" s="52"/>
      <c r="Q5" s="50"/>
      <c r="R5" s="50"/>
      <c r="AF5" s="99"/>
    </row>
    <row r="6" spans="1:32" ht="15.75">
      <c r="A6" s="49"/>
      <c r="B6" s="50"/>
      <c r="C6" s="50"/>
      <c r="D6" s="165" t="s">
        <v>2</v>
      </c>
      <c r="E6" s="166"/>
      <c r="F6" s="166"/>
      <c r="G6" s="166"/>
      <c r="H6" s="166"/>
      <c r="I6" s="50"/>
      <c r="J6" s="52"/>
      <c r="K6" s="52"/>
      <c r="L6" s="50"/>
      <c r="M6" s="50"/>
      <c r="N6" s="52"/>
      <c r="O6" s="52"/>
      <c r="P6" s="52"/>
      <c r="Q6" s="50"/>
      <c r="R6" s="50"/>
      <c r="AF6" s="99"/>
    </row>
    <row r="7" spans="1:32" ht="15.75">
      <c r="A7" s="49"/>
      <c r="B7" s="50"/>
      <c r="C7" s="50"/>
      <c r="D7" s="165"/>
      <c r="E7" s="166"/>
      <c r="F7" s="166"/>
      <c r="G7" s="166"/>
      <c r="H7" s="166"/>
      <c r="I7" s="50"/>
      <c r="J7" s="52"/>
      <c r="K7" s="52"/>
      <c r="L7" s="50"/>
      <c r="M7" s="50"/>
      <c r="N7" s="52"/>
      <c r="O7" s="52"/>
      <c r="P7" s="52"/>
      <c r="Q7" s="50"/>
      <c r="R7" s="50"/>
      <c r="AF7" s="99"/>
    </row>
    <row r="8" spans="1:32" ht="15.75">
      <c r="A8" s="49"/>
      <c r="B8" s="50"/>
      <c r="C8" s="50"/>
      <c r="D8" s="53"/>
      <c r="E8" s="53"/>
      <c r="F8" s="53"/>
      <c r="G8" s="53"/>
      <c r="H8" s="53"/>
      <c r="I8" s="50"/>
      <c r="J8" s="52"/>
      <c r="K8" s="52"/>
      <c r="L8" s="50"/>
      <c r="M8" s="50"/>
      <c r="N8" s="52"/>
      <c r="O8" s="52"/>
      <c r="P8" s="52"/>
      <c r="Q8" s="50"/>
      <c r="R8" s="50"/>
      <c r="AF8" s="99"/>
    </row>
    <row r="9" spans="1:32" ht="15.75">
      <c r="A9" s="49"/>
      <c r="B9" s="50"/>
      <c r="C9" s="50"/>
      <c r="D9" s="51"/>
      <c r="E9" s="51"/>
      <c r="F9" s="51"/>
      <c r="G9" s="51"/>
      <c r="H9" s="51"/>
      <c r="I9" s="50"/>
      <c r="J9" s="52"/>
      <c r="K9" s="52"/>
      <c r="L9" s="50"/>
      <c r="M9" s="50"/>
      <c r="N9" s="52"/>
      <c r="O9" s="52"/>
      <c r="P9" s="52"/>
      <c r="Q9" s="50"/>
      <c r="R9" s="50"/>
      <c r="AF9" s="99"/>
    </row>
    <row r="10" spans="1:32" ht="15.75">
      <c r="A10" s="49"/>
      <c r="B10" s="50"/>
      <c r="C10" s="50"/>
      <c r="D10" s="51"/>
      <c r="E10" s="51"/>
      <c r="F10" s="51"/>
      <c r="G10" s="51"/>
      <c r="H10" s="51"/>
      <c r="I10" s="50"/>
      <c r="J10" s="52"/>
      <c r="K10" s="52"/>
      <c r="L10" s="50"/>
      <c r="M10" s="50"/>
      <c r="N10" s="52"/>
      <c r="O10" s="52"/>
      <c r="P10" s="52"/>
      <c r="Q10" s="50"/>
      <c r="R10" s="50"/>
      <c r="AF10" s="99"/>
    </row>
    <row r="11" spans="1:32" ht="15.75">
      <c r="A11" s="49"/>
      <c r="B11" s="50"/>
      <c r="C11" s="50"/>
      <c r="D11" s="51"/>
      <c r="E11" s="51"/>
      <c r="F11" s="51"/>
      <c r="G11" s="51"/>
      <c r="H11" s="51"/>
      <c r="I11" s="50"/>
      <c r="J11" s="52"/>
      <c r="K11" s="52"/>
      <c r="L11" s="50"/>
      <c r="M11" s="50"/>
      <c r="N11" s="52"/>
      <c r="O11" s="52"/>
      <c r="P11" s="52"/>
      <c r="Q11" s="50"/>
      <c r="R11" s="50"/>
      <c r="AF11" s="99"/>
    </row>
    <row r="12" spans="1:32" ht="15.75">
      <c r="A12" s="54"/>
      <c r="B12" s="55"/>
      <c r="C12" s="55"/>
      <c r="D12" s="55"/>
      <c r="E12" s="55"/>
      <c r="F12" s="55"/>
      <c r="G12" s="55"/>
      <c r="H12" s="55"/>
      <c r="I12" s="55"/>
      <c r="J12" s="56"/>
      <c r="K12" s="56"/>
      <c r="L12" s="55"/>
      <c r="M12" s="55"/>
      <c r="N12" s="56"/>
      <c r="O12" s="56"/>
      <c r="P12" s="56"/>
      <c r="Q12" s="55"/>
      <c r="R12" s="55"/>
      <c r="S12" s="89"/>
      <c r="AF12" s="99"/>
    </row>
    <row r="13" spans="1:32" ht="15.75">
      <c r="A13" s="54"/>
      <c r="B13" s="55"/>
      <c r="C13" s="2" t="s">
        <v>3</v>
      </c>
      <c r="D13" s="167" t="s">
        <v>4</v>
      </c>
      <c r="E13" s="157"/>
      <c r="F13" s="157"/>
      <c r="G13" s="157"/>
      <c r="H13" s="158"/>
      <c r="I13" s="1"/>
      <c r="J13" s="56"/>
      <c r="K13" s="56"/>
      <c r="L13" s="55"/>
      <c r="M13" s="55"/>
      <c r="N13" s="56"/>
      <c r="O13" s="56"/>
      <c r="P13" s="56"/>
      <c r="Q13" s="55"/>
      <c r="R13" s="55"/>
      <c r="S13" s="89"/>
      <c r="AF13" s="99"/>
    </row>
    <row r="14" spans="1:32" ht="15.75">
      <c r="A14" s="54"/>
      <c r="B14" s="55"/>
      <c r="C14" s="2" t="s">
        <v>5</v>
      </c>
      <c r="D14" s="156" t="s">
        <v>6</v>
      </c>
      <c r="E14" s="157"/>
      <c r="F14" s="157"/>
      <c r="G14" s="157"/>
      <c r="H14" s="158"/>
      <c r="I14" s="57" t="s">
        <v>7</v>
      </c>
      <c r="J14" s="56"/>
      <c r="K14" s="56"/>
      <c r="L14" s="55"/>
      <c r="M14" s="55"/>
      <c r="N14" s="56"/>
      <c r="O14" s="56"/>
      <c r="P14" s="56"/>
      <c r="Q14" s="55"/>
      <c r="R14" s="55"/>
      <c r="S14" s="89"/>
      <c r="AF14" s="99"/>
    </row>
    <row r="15" spans="1:32" ht="15.75">
      <c r="A15" s="54"/>
      <c r="B15" s="55"/>
      <c r="C15" s="2" t="s">
        <v>8</v>
      </c>
      <c r="D15" s="156" t="s">
        <v>9</v>
      </c>
      <c r="E15" s="157"/>
      <c r="F15" s="157"/>
      <c r="G15" s="157"/>
      <c r="H15" s="158"/>
      <c r="I15" s="57" t="s">
        <v>7</v>
      </c>
      <c r="J15" s="56"/>
      <c r="K15" s="56"/>
      <c r="L15" s="55"/>
      <c r="M15" s="55"/>
      <c r="N15" s="56"/>
      <c r="O15" s="56"/>
      <c r="P15" s="56"/>
      <c r="Q15" s="55"/>
      <c r="R15" s="55"/>
      <c r="S15" s="89"/>
      <c r="AF15" s="99"/>
    </row>
    <row r="16" spans="1:32" ht="60">
      <c r="A16" s="54"/>
      <c r="B16" s="55"/>
      <c r="C16" s="2" t="s">
        <v>10</v>
      </c>
      <c r="D16" s="156" t="s">
        <v>11</v>
      </c>
      <c r="E16" s="157"/>
      <c r="F16" s="157"/>
      <c r="G16" s="157"/>
      <c r="H16" s="158"/>
      <c r="I16" s="3" t="s">
        <v>12</v>
      </c>
      <c r="J16" s="56"/>
      <c r="K16" s="56"/>
      <c r="L16" s="55"/>
      <c r="M16" s="55"/>
      <c r="N16" s="56"/>
      <c r="O16" s="56"/>
      <c r="P16" s="56"/>
      <c r="Q16" s="55"/>
      <c r="R16" s="55"/>
      <c r="S16" s="89"/>
      <c r="AF16" s="99"/>
    </row>
    <row r="17" spans="1:32" ht="15.75">
      <c r="A17" s="54"/>
      <c r="B17" s="55"/>
      <c r="C17" s="2" t="s">
        <v>13</v>
      </c>
      <c r="D17" s="156" t="s">
        <v>14</v>
      </c>
      <c r="E17" s="157"/>
      <c r="F17" s="157"/>
      <c r="G17" s="157"/>
      <c r="H17" s="158"/>
      <c r="I17" s="57" t="s">
        <v>7</v>
      </c>
      <c r="J17" s="56"/>
      <c r="K17" s="56"/>
      <c r="L17" s="55"/>
      <c r="M17" s="55"/>
      <c r="N17" s="56"/>
      <c r="O17" s="56"/>
      <c r="P17" s="56"/>
      <c r="Q17" s="55"/>
      <c r="R17" s="55"/>
      <c r="S17" s="89"/>
      <c r="AF17" s="99"/>
    </row>
    <row r="18" spans="1:32" ht="15.75">
      <c r="A18" s="58"/>
      <c r="B18" s="58"/>
      <c r="C18" s="2" t="s">
        <v>15</v>
      </c>
      <c r="D18" s="156" t="s">
        <v>16</v>
      </c>
      <c r="E18" s="157"/>
      <c r="F18" s="157"/>
      <c r="G18" s="157"/>
      <c r="H18" s="158"/>
      <c r="I18" s="57" t="s">
        <v>7</v>
      </c>
      <c r="J18" s="56"/>
      <c r="K18" s="56"/>
      <c r="L18" s="55"/>
      <c r="M18" s="55"/>
      <c r="N18" s="56"/>
      <c r="O18" s="56"/>
      <c r="P18" s="56"/>
      <c r="Q18" s="55"/>
      <c r="R18" s="55"/>
      <c r="S18" s="89"/>
      <c r="AF18" s="99"/>
    </row>
    <row r="19" spans="1:32" ht="15.75" hidden="1">
      <c r="A19" s="59"/>
      <c r="B19" s="60"/>
      <c r="C19" s="2" t="s">
        <v>17</v>
      </c>
      <c r="D19" s="156"/>
      <c r="E19" s="157"/>
      <c r="F19" s="157"/>
      <c r="G19" s="157"/>
      <c r="H19" s="158"/>
      <c r="I19" s="1"/>
      <c r="J19" s="56"/>
      <c r="K19" s="56"/>
      <c r="L19" s="55"/>
      <c r="M19" s="55"/>
      <c r="N19" s="56"/>
      <c r="O19" s="56"/>
      <c r="P19" s="56"/>
      <c r="Q19" s="55"/>
      <c r="R19" s="55"/>
      <c r="S19" s="89"/>
      <c r="AF19" s="99"/>
    </row>
    <row r="20" spans="1:32" ht="15.75">
      <c r="C20" s="2" t="s">
        <v>17</v>
      </c>
      <c r="D20" s="156" t="s">
        <v>18</v>
      </c>
      <c r="E20" s="157"/>
      <c r="F20" s="157"/>
      <c r="G20" s="157"/>
      <c r="H20" s="158"/>
      <c r="I20" s="57" t="s">
        <v>7</v>
      </c>
      <c r="J20" s="56"/>
      <c r="K20" s="56"/>
      <c r="L20" s="55"/>
      <c r="M20" s="55"/>
      <c r="N20" s="56"/>
      <c r="O20" s="56"/>
      <c r="P20" s="56"/>
      <c r="Q20" s="55"/>
      <c r="R20" s="55"/>
      <c r="S20" s="89"/>
      <c r="AF20" s="99"/>
    </row>
    <row r="21" spans="1:32" ht="15.75">
      <c r="A21" s="4"/>
      <c r="B21" s="161" t="s">
        <v>19</v>
      </c>
      <c r="C21" s="2" t="s">
        <v>20</v>
      </c>
      <c r="D21" s="156" t="s">
        <v>21</v>
      </c>
      <c r="E21" s="157"/>
      <c r="F21" s="157"/>
      <c r="G21" s="157"/>
      <c r="H21" s="158"/>
      <c r="I21" s="57" t="s">
        <v>7</v>
      </c>
      <c r="K21" s="56"/>
      <c r="L21" s="55"/>
      <c r="M21" s="55"/>
      <c r="N21" s="56"/>
      <c r="O21" s="56"/>
      <c r="P21" s="56"/>
      <c r="Q21" s="55"/>
      <c r="R21" s="55"/>
      <c r="S21" s="89"/>
      <c r="AF21" s="99"/>
    </row>
    <row r="22" spans="1:32" ht="15.75">
      <c r="A22" s="4"/>
      <c r="B22" s="162"/>
      <c r="C22" s="2" t="s">
        <v>22</v>
      </c>
      <c r="D22" s="156" t="s">
        <v>23</v>
      </c>
      <c r="E22" s="157"/>
      <c r="F22" s="157"/>
      <c r="G22" s="157"/>
      <c r="H22" s="158"/>
      <c r="I22" s="57" t="s">
        <v>7</v>
      </c>
      <c r="J22" s="56"/>
      <c r="K22" s="56"/>
      <c r="L22" s="55"/>
      <c r="M22" s="55"/>
      <c r="N22" s="56"/>
      <c r="O22" s="56"/>
      <c r="P22" s="56"/>
      <c r="Q22" s="55"/>
      <c r="R22" s="55"/>
      <c r="S22" s="89"/>
      <c r="AF22" s="99"/>
    </row>
    <row r="23" spans="1:32" ht="15.75">
      <c r="A23" s="5"/>
      <c r="B23" s="163" t="s">
        <v>24</v>
      </c>
      <c r="C23" s="2" t="s">
        <v>25</v>
      </c>
      <c r="D23" s="156" t="s">
        <v>364</v>
      </c>
      <c r="E23" s="157"/>
      <c r="F23" s="157"/>
      <c r="G23" s="157"/>
      <c r="H23" s="158"/>
      <c r="I23" s="57" t="s">
        <v>7</v>
      </c>
      <c r="J23" s="56"/>
      <c r="K23" s="56"/>
      <c r="L23" s="55"/>
      <c r="M23" s="55"/>
      <c r="N23" s="56"/>
      <c r="O23" s="56"/>
      <c r="P23" s="56"/>
      <c r="Q23" s="55"/>
      <c r="R23" s="55"/>
      <c r="S23" s="89"/>
      <c r="AF23" s="99"/>
    </row>
    <row r="24" spans="1:32" ht="31.5">
      <c r="A24" s="5"/>
      <c r="B24" s="164"/>
      <c r="C24" s="2" t="s">
        <v>27</v>
      </c>
      <c r="D24" s="156" t="s">
        <v>365</v>
      </c>
      <c r="E24" s="157"/>
      <c r="F24" s="157"/>
      <c r="G24" s="157"/>
      <c r="H24" s="158"/>
      <c r="I24" s="57" t="s">
        <v>7</v>
      </c>
      <c r="J24" s="56"/>
      <c r="K24" s="56"/>
      <c r="L24" s="55"/>
      <c r="M24" s="55"/>
      <c r="N24" s="56"/>
      <c r="O24" s="56"/>
      <c r="P24" s="56"/>
      <c r="Q24" s="55"/>
      <c r="R24" s="55"/>
      <c r="S24" s="89"/>
      <c r="AF24" s="99"/>
    </row>
    <row r="25" spans="1:32" ht="15.75">
      <c r="A25" s="5"/>
      <c r="B25" s="163" t="s">
        <v>29</v>
      </c>
      <c r="C25" s="2" t="s">
        <v>30</v>
      </c>
      <c r="D25" s="156" t="s">
        <v>366</v>
      </c>
      <c r="E25" s="157"/>
      <c r="F25" s="157"/>
      <c r="G25" s="157"/>
      <c r="H25" s="158"/>
      <c r="I25" s="57" t="s">
        <v>7</v>
      </c>
      <c r="J25" s="56"/>
      <c r="K25" s="56"/>
      <c r="L25" s="55"/>
      <c r="M25" s="55"/>
      <c r="N25" s="56"/>
      <c r="O25" s="56"/>
      <c r="P25" s="56"/>
      <c r="Q25" s="55"/>
      <c r="R25" s="55"/>
      <c r="S25" s="89"/>
      <c r="AF25" s="99"/>
    </row>
    <row r="26" spans="1:32" ht="15.75">
      <c r="A26" s="5"/>
      <c r="B26" s="162"/>
      <c r="C26" s="2" t="s">
        <v>32</v>
      </c>
      <c r="D26" s="156" t="s">
        <v>367</v>
      </c>
      <c r="E26" s="157"/>
      <c r="F26" s="157"/>
      <c r="G26" s="157"/>
      <c r="H26" s="158"/>
      <c r="I26" s="57" t="s">
        <v>7</v>
      </c>
      <c r="J26" s="56"/>
      <c r="K26" s="56"/>
      <c r="L26" s="55"/>
      <c r="M26" s="55"/>
      <c r="N26" s="56"/>
      <c r="O26" s="56"/>
      <c r="P26" s="56"/>
      <c r="Q26" s="55"/>
      <c r="R26" s="55"/>
      <c r="S26" s="89"/>
      <c r="AF26" s="99"/>
    </row>
    <row r="27" spans="1:32" ht="15.75">
      <c r="A27" s="5"/>
      <c r="B27" s="162"/>
      <c r="C27" s="2" t="s">
        <v>34</v>
      </c>
      <c r="D27" s="156" t="s">
        <v>368</v>
      </c>
      <c r="E27" s="157"/>
      <c r="F27" s="157"/>
      <c r="G27" s="157"/>
      <c r="H27" s="158"/>
      <c r="I27" s="57" t="s">
        <v>7</v>
      </c>
      <c r="J27" s="56"/>
      <c r="K27" s="56"/>
      <c r="L27" s="55"/>
      <c r="M27" s="55"/>
      <c r="N27" s="56"/>
      <c r="O27" s="56"/>
      <c r="P27" s="56"/>
      <c r="Q27" s="55"/>
      <c r="R27" s="55"/>
      <c r="S27" s="89"/>
      <c r="AF27" s="99"/>
    </row>
    <row r="28" spans="1:32" ht="16.5">
      <c r="A28" s="5"/>
      <c r="B28" s="162"/>
      <c r="C28" s="2" t="s">
        <v>36</v>
      </c>
      <c r="D28" s="176" t="s">
        <v>369</v>
      </c>
      <c r="E28" s="157"/>
      <c r="F28" s="157"/>
      <c r="G28" s="157"/>
      <c r="H28" s="158"/>
      <c r="I28" s="55"/>
      <c r="J28" s="56"/>
      <c r="K28" s="56"/>
      <c r="L28" s="55"/>
      <c r="M28" s="55"/>
      <c r="N28" s="56"/>
      <c r="O28" s="61"/>
      <c r="P28" s="61"/>
      <c r="Q28" s="55"/>
      <c r="R28" s="55"/>
      <c r="S28" s="89"/>
      <c r="AF28" s="99"/>
    </row>
    <row r="29" spans="1:32" ht="31.5">
      <c r="A29" s="58"/>
      <c r="B29" s="58"/>
      <c r="C29" s="2" t="s">
        <v>38</v>
      </c>
      <c r="D29" s="159" t="s">
        <v>39</v>
      </c>
      <c r="E29" s="157"/>
      <c r="F29" s="157"/>
      <c r="G29" s="157"/>
      <c r="H29" s="157"/>
      <c r="I29" s="55"/>
      <c r="J29" s="56"/>
      <c r="K29" s="56"/>
      <c r="L29" s="55"/>
      <c r="M29" s="55"/>
      <c r="N29" s="56"/>
      <c r="O29" s="61"/>
      <c r="P29" s="61"/>
      <c r="Q29" s="55"/>
      <c r="R29" s="55"/>
      <c r="S29" s="89"/>
      <c r="AF29" s="99"/>
    </row>
    <row r="30" spans="1:32" ht="15.75">
      <c r="A30" s="58"/>
      <c r="B30" s="58"/>
      <c r="C30" s="6" t="s">
        <v>40</v>
      </c>
      <c r="D30" s="160"/>
      <c r="E30" s="157"/>
      <c r="F30" s="157"/>
      <c r="G30" s="157"/>
      <c r="H30" s="158"/>
      <c r="I30" s="1"/>
      <c r="J30" s="56"/>
      <c r="K30" s="56"/>
      <c r="L30" s="55"/>
      <c r="M30" s="55"/>
      <c r="N30" s="56"/>
      <c r="O30" s="56"/>
      <c r="P30" s="56"/>
      <c r="Q30" s="55"/>
      <c r="R30" s="55"/>
      <c r="S30" s="89"/>
      <c r="AF30" s="99"/>
    </row>
    <row r="31" spans="1:32" ht="15.75">
      <c r="A31" s="54"/>
      <c r="B31" s="55"/>
      <c r="C31" s="55"/>
      <c r="D31" s="7"/>
      <c r="E31" s="7"/>
      <c r="F31" s="7"/>
      <c r="G31" s="7"/>
      <c r="H31" s="7"/>
      <c r="I31" s="8"/>
      <c r="J31" s="8"/>
      <c r="K31" s="8"/>
      <c r="L31" s="8"/>
      <c r="M31" s="8"/>
      <c r="N31" s="8"/>
      <c r="O31" s="8"/>
      <c r="P31" s="8"/>
      <c r="Q31" s="8"/>
      <c r="R31" s="8"/>
      <c r="S31" s="89"/>
      <c r="AF31" s="99"/>
    </row>
    <row r="32" spans="1:32" ht="63">
      <c r="A32" s="62"/>
      <c r="B32" s="63" t="s">
        <v>42</v>
      </c>
      <c r="C32" s="9" t="s">
        <v>43</v>
      </c>
      <c r="D32" s="6" t="s">
        <v>44</v>
      </c>
      <c r="E32" s="6" t="s">
        <v>45</v>
      </c>
      <c r="F32" s="6" t="s">
        <v>46</v>
      </c>
      <c r="G32" s="6" t="s">
        <v>47</v>
      </c>
      <c r="H32" s="6" t="s">
        <v>48</v>
      </c>
      <c r="I32" s="6" t="s">
        <v>49</v>
      </c>
      <c r="J32" s="10" t="s">
        <v>50</v>
      </c>
      <c r="K32" s="10" t="s">
        <v>51</v>
      </c>
      <c r="L32" s="6" t="s">
        <v>52</v>
      </c>
      <c r="M32" s="6" t="s">
        <v>53</v>
      </c>
      <c r="N32" s="10" t="s">
        <v>54</v>
      </c>
      <c r="O32" s="10" t="s">
        <v>55</v>
      </c>
      <c r="P32" s="10" t="s">
        <v>56</v>
      </c>
      <c r="Q32" s="6" t="s">
        <v>57</v>
      </c>
      <c r="R32" s="6" t="s">
        <v>58</v>
      </c>
      <c r="S32" s="100" t="s">
        <v>59</v>
      </c>
      <c r="T32" s="101" t="s">
        <v>60</v>
      </c>
      <c r="U32" s="101" t="s">
        <v>61</v>
      </c>
      <c r="V32" s="101" t="s">
        <v>62</v>
      </c>
      <c r="W32" s="101" t="s">
        <v>63</v>
      </c>
      <c r="X32" s="101" t="s">
        <v>64</v>
      </c>
      <c r="Y32" s="101" t="s">
        <v>65</v>
      </c>
      <c r="Z32" s="101" t="s">
        <v>66</v>
      </c>
      <c r="AA32" s="101" t="s">
        <v>67</v>
      </c>
      <c r="AB32" s="101" t="s">
        <v>68</v>
      </c>
      <c r="AC32" s="101" t="s">
        <v>69</v>
      </c>
      <c r="AD32" s="101" t="s">
        <v>70</v>
      </c>
      <c r="AE32" s="102" t="s">
        <v>71</v>
      </c>
      <c r="AF32" s="112" t="s">
        <v>72</v>
      </c>
    </row>
    <row r="33" spans="1:32" ht="356.25">
      <c r="B33" s="55"/>
      <c r="C33" s="2" t="s">
        <v>74</v>
      </c>
      <c r="D33" s="11" t="s">
        <v>75</v>
      </c>
      <c r="E33" s="11" t="s">
        <v>76</v>
      </c>
      <c r="F33" s="11" t="s">
        <v>77</v>
      </c>
      <c r="G33" s="12" t="s">
        <v>78</v>
      </c>
      <c r="H33" s="12" t="s">
        <v>79</v>
      </c>
      <c r="I33" s="11" t="s">
        <v>80</v>
      </c>
      <c r="J33" s="13" t="s">
        <v>81</v>
      </c>
      <c r="K33" s="13" t="s">
        <v>82</v>
      </c>
      <c r="L33" s="12" t="s">
        <v>83</v>
      </c>
      <c r="M33" s="12" t="s">
        <v>338</v>
      </c>
      <c r="N33" s="14" t="s">
        <v>85</v>
      </c>
      <c r="O33" s="103">
        <f>(SUMIFS(O35:O60,A35:A60,"FIN"))+SUMIFS(O35:O60,A35:A60,"FIN/PROPÓSITO")</f>
        <v>37731</v>
      </c>
      <c r="P33" s="16"/>
      <c r="Q33" s="11" t="s">
        <v>86</v>
      </c>
      <c r="R33" s="11" t="s">
        <v>87</v>
      </c>
      <c r="S33" s="177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04">
        <v>16689</v>
      </c>
      <c r="AF33" s="113"/>
    </row>
    <row r="34" spans="1:32" ht="199.5">
      <c r="B34" s="64" t="s">
        <v>7</v>
      </c>
      <c r="C34" s="2" t="s">
        <v>88</v>
      </c>
      <c r="D34" s="11" t="s">
        <v>89</v>
      </c>
      <c r="E34" s="11" t="s">
        <v>90</v>
      </c>
      <c r="F34" s="11" t="s">
        <v>91</v>
      </c>
      <c r="G34" s="12" t="s">
        <v>92</v>
      </c>
      <c r="H34" s="12" t="s">
        <v>79</v>
      </c>
      <c r="I34" s="11" t="s">
        <v>93</v>
      </c>
      <c r="J34" s="17" t="s">
        <v>94</v>
      </c>
      <c r="K34" s="18" t="s">
        <v>95</v>
      </c>
      <c r="L34" s="12" t="s">
        <v>83</v>
      </c>
      <c r="M34" s="12" t="s">
        <v>338</v>
      </c>
      <c r="N34" s="14" t="s">
        <v>85</v>
      </c>
      <c r="O34" s="103">
        <f>(SUMIFS(O35:O60,A35:A60,"PROPÓSITO"))+SUMIFS(O35:O60,A35:A60,"FIN/PROPÓSITO")</f>
        <v>1503807</v>
      </c>
      <c r="P34" s="16"/>
      <c r="Q34" s="11" t="s">
        <v>96</v>
      </c>
      <c r="R34" s="11" t="s">
        <v>97</v>
      </c>
      <c r="S34" s="177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65">
        <v>115202</v>
      </c>
      <c r="AF34" s="113"/>
    </row>
    <row r="35" spans="1:32" ht="199.5">
      <c r="B35" s="67" t="s">
        <v>98</v>
      </c>
      <c r="C35" s="19" t="s">
        <v>99</v>
      </c>
      <c r="D35" s="11" t="s">
        <v>100</v>
      </c>
      <c r="E35" s="11" t="s">
        <v>370</v>
      </c>
      <c r="F35" s="11" t="s">
        <v>371</v>
      </c>
      <c r="G35" s="11" t="s">
        <v>103</v>
      </c>
      <c r="H35" s="11" t="s">
        <v>79</v>
      </c>
      <c r="I35" s="11" t="s">
        <v>372</v>
      </c>
      <c r="J35" s="13" t="s">
        <v>373</v>
      </c>
      <c r="K35" s="13">
        <v>9</v>
      </c>
      <c r="L35" s="11" t="s">
        <v>107</v>
      </c>
      <c r="M35" s="11" t="s">
        <v>84</v>
      </c>
      <c r="N35" s="11" t="s">
        <v>85</v>
      </c>
      <c r="O35" s="105">
        <v>0.9</v>
      </c>
      <c r="P35" s="16"/>
      <c r="Q35" s="11" t="s">
        <v>86</v>
      </c>
      <c r="R35" s="11" t="s">
        <v>108</v>
      </c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20"/>
      <c r="AF35" s="114"/>
    </row>
    <row r="36" spans="1:32" ht="156.75">
      <c r="A36" s="115" t="s">
        <v>74</v>
      </c>
      <c r="B36" s="116"/>
      <c r="C36" s="117" t="s">
        <v>109</v>
      </c>
      <c r="D36" s="118" t="s">
        <v>110</v>
      </c>
      <c r="E36" s="119" t="s">
        <v>111</v>
      </c>
      <c r="F36" s="118" t="s">
        <v>112</v>
      </c>
      <c r="G36" s="120" t="s">
        <v>103</v>
      </c>
      <c r="H36" s="120" t="s">
        <v>113</v>
      </c>
      <c r="I36" s="119" t="s">
        <v>114</v>
      </c>
      <c r="J36" s="121" t="s">
        <v>115</v>
      </c>
      <c r="K36" s="122" t="s">
        <v>116</v>
      </c>
      <c r="L36" s="118" t="s">
        <v>107</v>
      </c>
      <c r="M36" s="123" t="s">
        <v>84</v>
      </c>
      <c r="N36" s="118">
        <v>517</v>
      </c>
      <c r="O36" s="118">
        <v>7450</v>
      </c>
      <c r="P36" s="124"/>
      <c r="Q36" s="125" t="s">
        <v>117</v>
      </c>
      <c r="R36" s="118" t="s">
        <v>118</v>
      </c>
      <c r="S36" s="118">
        <f ca="1">IFERROR(__xludf.DUMMYFUNCTION("ARRAYFORMULA( VALUE( QUERY((importrange(""1HfDWOOQtW2DmR4T-abQKe-72fB53-8dilSd0l7oSiPQ"",""TOTALES!E2:P3"")),""Select*"",1)))"),0)</f>
        <v>0</v>
      </c>
      <c r="T36" s="118">
        <f ca="1">IFERROR(__xludf.DUMMYFUNCTION("""COMPUTED_VALUE"""),6)</f>
        <v>6</v>
      </c>
      <c r="U36" s="118">
        <f ca="1">IFERROR(__xludf.DUMMYFUNCTION("""COMPUTED_VALUE"""),457)</f>
        <v>457</v>
      </c>
      <c r="V36" s="118">
        <f ca="1">IFERROR(__xludf.DUMMYFUNCTION("""COMPUTED_VALUE"""),1019)</f>
        <v>1019</v>
      </c>
      <c r="W36" s="118">
        <f ca="1">IFERROR(__xludf.DUMMYFUNCTION("""COMPUTED_VALUE"""),729)</f>
        <v>729</v>
      </c>
      <c r="X36" s="118">
        <f ca="1">IFERROR(__xludf.DUMMYFUNCTION("""COMPUTED_VALUE"""),352)</f>
        <v>352</v>
      </c>
      <c r="Y36" s="118">
        <f ca="1">IFERROR(__xludf.DUMMYFUNCTION("""COMPUTED_VALUE"""),1087)</f>
        <v>1087</v>
      </c>
      <c r="Z36" s="118">
        <f ca="1">IFERROR(__xludf.DUMMYFUNCTION("""COMPUTED_VALUE"""),796)</f>
        <v>796</v>
      </c>
      <c r="AA36" s="118">
        <f ca="1">IFERROR(__xludf.DUMMYFUNCTION("""COMPUTED_VALUE"""),739)</f>
        <v>739</v>
      </c>
      <c r="AB36" s="118">
        <f ca="1">IFERROR(__xludf.DUMMYFUNCTION("""COMPUTED_VALUE"""),785)</f>
        <v>785</v>
      </c>
      <c r="AC36" s="118">
        <f ca="1">IFERROR(__xludf.DUMMYFUNCTION("""COMPUTED_VALUE"""),528)</f>
        <v>528</v>
      </c>
      <c r="AD36" s="118">
        <f ca="1">IFERROR(__xludf.DUMMYFUNCTION("""COMPUTED_VALUE"""),1240)</f>
        <v>1240</v>
      </c>
      <c r="AE36" s="126">
        <f t="shared" ref="AE36:AE60" ca="1" si="0">SUM(S36:U36)</f>
        <v>463</v>
      </c>
      <c r="AF36" s="114">
        <f ca="1">AE36/O36</f>
        <v>6.2147651006711407E-2</v>
      </c>
    </row>
    <row r="37" spans="1:32" ht="142.5">
      <c r="A37" s="71" t="s">
        <v>88</v>
      </c>
      <c r="B37" s="70"/>
      <c r="C37" s="21" t="s">
        <v>119</v>
      </c>
      <c r="D37" s="11" t="s">
        <v>120</v>
      </c>
      <c r="E37" s="11" t="s">
        <v>121</v>
      </c>
      <c r="F37" s="11" t="s">
        <v>122</v>
      </c>
      <c r="G37" s="23" t="s">
        <v>103</v>
      </c>
      <c r="H37" s="23" t="s">
        <v>113</v>
      </c>
      <c r="I37" s="11" t="s">
        <v>123</v>
      </c>
      <c r="J37" s="24" t="s">
        <v>124</v>
      </c>
      <c r="K37" s="13" t="s">
        <v>125</v>
      </c>
      <c r="L37" s="11" t="s">
        <v>107</v>
      </c>
      <c r="M37" s="27" t="s">
        <v>84</v>
      </c>
      <c r="N37" s="11">
        <v>925</v>
      </c>
      <c r="O37" s="34">
        <v>640</v>
      </c>
      <c r="P37" s="26"/>
      <c r="Q37" s="11" t="s">
        <v>126</v>
      </c>
      <c r="R37" s="11" t="s">
        <v>127</v>
      </c>
      <c r="S37" s="11">
        <f ca="1">IFERROR(__xludf.DUMMYFUNCTION("""COMPUTED_VALUE"""),50)</f>
        <v>50</v>
      </c>
      <c r="T37" s="11">
        <f ca="1">IFERROR(__xludf.DUMMYFUNCTION("""COMPUTED_VALUE"""),48)</f>
        <v>48</v>
      </c>
      <c r="U37" s="11">
        <f ca="1">IFERROR(__xludf.DUMMYFUNCTION("""COMPUTED_VALUE"""),55)</f>
        <v>55</v>
      </c>
      <c r="V37" s="11">
        <f ca="1">IFERROR(__xludf.DUMMYFUNCTION("""COMPUTED_VALUE"""),13)</f>
        <v>13</v>
      </c>
      <c r="W37" s="11">
        <f ca="1">IFERROR(__xludf.DUMMYFUNCTION("""COMPUTED_VALUE"""),46)</f>
        <v>46</v>
      </c>
      <c r="X37" s="11">
        <f ca="1">IFERROR(__xludf.DUMMYFUNCTION("""COMPUTED_VALUE"""),44)</f>
        <v>44</v>
      </c>
      <c r="Y37" s="11">
        <f ca="1">IFERROR(__xludf.DUMMYFUNCTION("""COMPUTED_VALUE"""),715)</f>
        <v>715</v>
      </c>
      <c r="Z37" s="11">
        <f ca="1">IFERROR(__xludf.DUMMYFUNCTION("""COMPUTED_VALUE"""),77)</f>
        <v>77</v>
      </c>
      <c r="AA37" s="11">
        <f ca="1">IFERROR(__xludf.DUMMYFUNCTION("""COMPUTED_VALUE"""),432)</f>
        <v>432</v>
      </c>
      <c r="AB37" s="11">
        <f ca="1">IFERROR(__xludf.DUMMYFUNCTION("""COMPUTED_VALUE"""),125)</f>
        <v>125</v>
      </c>
      <c r="AC37" s="11">
        <f ca="1">IFERROR(__xludf.DUMMYFUNCTION("""COMPUTED_VALUE"""),118)</f>
        <v>118</v>
      </c>
      <c r="AD37" s="11">
        <f ca="1">IFERROR(__xludf.DUMMYFUNCTION("""COMPUTED_VALUE"""),86)</f>
        <v>86</v>
      </c>
      <c r="AE37" s="20">
        <f t="shared" ca="1" si="0"/>
        <v>153</v>
      </c>
      <c r="AF37" s="114"/>
    </row>
    <row r="38" spans="1:32" ht="114">
      <c r="A38" s="127" t="s">
        <v>128</v>
      </c>
      <c r="B38" s="116"/>
      <c r="C38" s="117" t="s">
        <v>129</v>
      </c>
      <c r="D38" s="118" t="s">
        <v>130</v>
      </c>
      <c r="E38" s="118" t="s">
        <v>131</v>
      </c>
      <c r="F38" s="118" t="s">
        <v>132</v>
      </c>
      <c r="G38" s="120" t="s">
        <v>103</v>
      </c>
      <c r="H38" s="120" t="s">
        <v>113</v>
      </c>
      <c r="I38" s="119" t="s">
        <v>133</v>
      </c>
      <c r="J38" s="128" t="s">
        <v>134</v>
      </c>
      <c r="K38" s="128" t="s">
        <v>135</v>
      </c>
      <c r="L38" s="118" t="s">
        <v>107</v>
      </c>
      <c r="M38" s="129" t="s">
        <v>84</v>
      </c>
      <c r="N38" s="118">
        <v>10405</v>
      </c>
      <c r="O38" s="130">
        <v>5000</v>
      </c>
      <c r="P38" s="124"/>
      <c r="Q38" s="118" t="s">
        <v>136</v>
      </c>
      <c r="R38" s="118" t="s">
        <v>137</v>
      </c>
      <c r="S38" s="118">
        <f ca="1">IFERROR(__xludf.DUMMYFUNCTION("ARRAYFORMULA(VALUE( QUERY((importrange(""183F2AksfiZ8wFAC_Zhgx5YEVRtSTOaCQywT9_8D0DU8"",""TOTALES!E2:P2"")),""Select*"",1)))"),1086)</f>
        <v>1086</v>
      </c>
      <c r="T38" s="118">
        <f ca="1">IFERROR(__xludf.DUMMYFUNCTION("""COMPUTED_VALUE"""),1126)</f>
        <v>1126</v>
      </c>
      <c r="U38" s="118">
        <f ca="1">IFERROR(__xludf.DUMMYFUNCTION("""COMPUTED_VALUE"""),1236)</f>
        <v>1236</v>
      </c>
      <c r="V38" s="118">
        <f ca="1">IFERROR(__xludf.DUMMYFUNCTION("""COMPUTED_VALUE"""),667)</f>
        <v>667</v>
      </c>
      <c r="W38" s="118">
        <f ca="1">IFERROR(__xludf.DUMMYFUNCTION("""COMPUTED_VALUE"""),916)</f>
        <v>916</v>
      </c>
      <c r="X38" s="118">
        <f ca="1">IFERROR(__xludf.DUMMYFUNCTION("""COMPUTED_VALUE"""),981)</f>
        <v>981</v>
      </c>
      <c r="Y38" s="118">
        <f ca="1">IFERROR(__xludf.DUMMYFUNCTION("""COMPUTED_VALUE"""),966)</f>
        <v>966</v>
      </c>
      <c r="Z38" s="118">
        <f ca="1">IFERROR(__xludf.DUMMYFUNCTION("""COMPUTED_VALUE"""),933)</f>
        <v>933</v>
      </c>
      <c r="AA38" s="118">
        <f ca="1">IFERROR(__xludf.DUMMYFUNCTION("""COMPUTED_VALUE"""),1132)</f>
        <v>1132</v>
      </c>
      <c r="AB38" s="118">
        <f ca="1">IFERROR(__xludf.DUMMYFUNCTION("""COMPUTED_VALUE"""),1108)</f>
        <v>1108</v>
      </c>
      <c r="AC38" s="118">
        <f ca="1">IFERROR(__xludf.DUMMYFUNCTION("""COMPUTED_VALUE"""),1054)</f>
        <v>1054</v>
      </c>
      <c r="AD38" s="118">
        <f ca="1">IFERROR(__xludf.DUMMYFUNCTION("""COMPUTED_VALUE"""),450)</f>
        <v>450</v>
      </c>
      <c r="AE38" s="126">
        <f t="shared" ca="1" si="0"/>
        <v>3448</v>
      </c>
      <c r="AF38" s="114">
        <f t="shared" ref="AF38:AF39" ca="1" si="1">AE38/O38</f>
        <v>0.68959999999999999</v>
      </c>
    </row>
    <row r="39" spans="1:32" ht="199.5">
      <c r="A39" s="131" t="s">
        <v>74</v>
      </c>
      <c r="B39" s="132"/>
      <c r="C39" s="133" t="s">
        <v>138</v>
      </c>
      <c r="D39" s="11" t="s">
        <v>139</v>
      </c>
      <c r="E39" s="11" t="s">
        <v>140</v>
      </c>
      <c r="F39" s="11" t="s">
        <v>141</v>
      </c>
      <c r="G39" s="23" t="s">
        <v>103</v>
      </c>
      <c r="H39" s="23" t="s">
        <v>113</v>
      </c>
      <c r="I39" s="22" t="s">
        <v>142</v>
      </c>
      <c r="J39" s="18" t="s">
        <v>143</v>
      </c>
      <c r="K39" s="18" t="s">
        <v>144</v>
      </c>
      <c r="L39" s="11" t="s">
        <v>107</v>
      </c>
      <c r="M39" s="27" t="s">
        <v>84</v>
      </c>
      <c r="N39" s="32">
        <v>9826</v>
      </c>
      <c r="O39" s="32">
        <v>8791</v>
      </c>
      <c r="P39" s="16"/>
      <c r="Q39" s="22" t="s">
        <v>117</v>
      </c>
      <c r="R39" s="11" t="s">
        <v>145</v>
      </c>
      <c r="S39" s="11">
        <f ca="1">IFERROR(__xludf.DUMMYFUNCTION("ARRAYFORMULA(VALUE(QUERY((importrange(""19FdkI7aaBMumczpCHOxlMxTmd_2Wbxy3XvDOYImbjW8"",""TOTALES!E2:P5"")),""Select*"",1)))"),0)</f>
        <v>0</v>
      </c>
      <c r="T39" s="11">
        <f ca="1">IFERROR(__xludf.DUMMYFUNCTION("""COMPUTED_VALUE"""),0)</f>
        <v>0</v>
      </c>
      <c r="U39" s="11">
        <f ca="1">IFERROR(__xludf.DUMMYFUNCTION("""COMPUTED_VALUE"""),2526)</f>
        <v>2526</v>
      </c>
      <c r="V39" s="11">
        <f ca="1">IFERROR(__xludf.DUMMYFUNCTION("""COMPUTED_VALUE"""),6265)</f>
        <v>6265</v>
      </c>
      <c r="W39" s="11">
        <f ca="1">IFERROR(__xludf.DUMMYFUNCTION("""COMPUTED_VALUE"""),0)</f>
        <v>0</v>
      </c>
      <c r="X39" s="11">
        <f ca="1">IFERROR(__xludf.DUMMYFUNCTION("""COMPUTED_VALUE"""),0)</f>
        <v>0</v>
      </c>
      <c r="Y39" s="11">
        <f ca="1">IFERROR(__xludf.DUMMYFUNCTION("""COMPUTED_VALUE"""),0)</f>
        <v>0</v>
      </c>
      <c r="Z39" s="11">
        <f ca="1">IFERROR(__xludf.DUMMYFUNCTION("""COMPUTED_VALUE"""),0)</f>
        <v>0</v>
      </c>
      <c r="AA39" s="11">
        <f ca="1">IFERROR(__xludf.DUMMYFUNCTION("""COMPUTED_VALUE"""),0)</f>
        <v>0</v>
      </c>
      <c r="AB39" s="11">
        <f ca="1">IFERROR(__xludf.DUMMYFUNCTION("""COMPUTED_VALUE"""),0)</f>
        <v>0</v>
      </c>
      <c r="AC39" s="11">
        <f ca="1">IFERROR(__xludf.DUMMYFUNCTION("""COMPUTED_VALUE"""),0)</f>
        <v>0</v>
      </c>
      <c r="AD39" s="11">
        <f ca="1">IFERROR(__xludf.DUMMYFUNCTION("""COMPUTED_VALUE"""),0)</f>
        <v>0</v>
      </c>
      <c r="AE39" s="20">
        <f t="shared" ca="1" si="0"/>
        <v>2526</v>
      </c>
      <c r="AF39" s="114">
        <f t="shared" ca="1" si="1"/>
        <v>0.28733932430895232</v>
      </c>
    </row>
    <row r="40" spans="1:32" ht="114">
      <c r="A40" s="127" t="s">
        <v>88</v>
      </c>
      <c r="B40" s="116"/>
      <c r="C40" s="117" t="s">
        <v>146</v>
      </c>
      <c r="D40" s="118" t="s">
        <v>147</v>
      </c>
      <c r="E40" s="118" t="s">
        <v>148</v>
      </c>
      <c r="F40" s="118" t="s">
        <v>149</v>
      </c>
      <c r="G40" s="120" t="s">
        <v>103</v>
      </c>
      <c r="H40" s="118" t="s">
        <v>113</v>
      </c>
      <c r="I40" s="119" t="s">
        <v>150</v>
      </c>
      <c r="J40" s="128" t="s">
        <v>151</v>
      </c>
      <c r="K40" s="128" t="s">
        <v>152</v>
      </c>
      <c r="L40" s="118" t="s">
        <v>107</v>
      </c>
      <c r="M40" s="134" t="s">
        <v>84</v>
      </c>
      <c r="N40" s="135">
        <v>1378450</v>
      </c>
      <c r="O40" s="130">
        <v>1190350</v>
      </c>
      <c r="P40" s="136"/>
      <c r="Q40" s="125" t="s">
        <v>153</v>
      </c>
      <c r="R40" s="118" t="s">
        <v>154</v>
      </c>
      <c r="S40" s="118">
        <f ca="1">IFERROR(__xludf.DUMMYFUNCTION("""COMPUTED_VALUE"""),0)</f>
        <v>0</v>
      </c>
      <c r="T40" s="118">
        <f ca="1">IFERROR(__xludf.DUMMYFUNCTION("""COMPUTED_VALUE"""),0)</f>
        <v>0</v>
      </c>
      <c r="U40" s="118">
        <f ca="1">IFERROR(__xludf.DUMMYFUNCTION("""COMPUTED_VALUE"""),0)</f>
        <v>0</v>
      </c>
      <c r="V40" s="118">
        <f ca="1">IFERROR(__xludf.DUMMYFUNCTION("""COMPUTED_VALUE"""),338310)</f>
        <v>338310</v>
      </c>
      <c r="W40" s="118">
        <f ca="1">IFERROR(__xludf.DUMMYFUNCTION("""COMPUTED_VALUE"""),175420)</f>
        <v>175420</v>
      </c>
      <c r="X40" s="118">
        <f ca="1">IFERROR(__xludf.DUMMYFUNCTION("""COMPUTED_VALUE"""),162890)</f>
        <v>162890</v>
      </c>
      <c r="Y40" s="118">
        <f ca="1">IFERROR(__xludf.DUMMYFUNCTION("""COMPUTED_VALUE"""),0)</f>
        <v>0</v>
      </c>
      <c r="Z40" s="118">
        <f ca="1">IFERROR(__xludf.DUMMYFUNCTION("""COMPUTED_VALUE"""),56385)</f>
        <v>56385</v>
      </c>
      <c r="AA40" s="118">
        <f ca="1">IFERROR(__xludf.DUMMYFUNCTION("""COMPUTED_VALUE"""),131565)</f>
        <v>131565</v>
      </c>
      <c r="AB40" s="118">
        <f ca="1">IFERROR(__xludf.DUMMYFUNCTION("""COMPUTED_VALUE"""),131565)</f>
        <v>131565</v>
      </c>
      <c r="AC40" s="118">
        <f ca="1">IFERROR(__xludf.DUMMYFUNCTION("""COMPUTED_VALUE"""),194215)</f>
        <v>194215</v>
      </c>
      <c r="AD40" s="118">
        <f ca="1">IFERROR(__xludf.DUMMYFUNCTION("""COMPUTED_VALUE"""),0)</f>
        <v>0</v>
      </c>
      <c r="AE40" s="126">
        <f t="shared" ca="1" si="0"/>
        <v>0</v>
      </c>
      <c r="AF40" s="137"/>
    </row>
    <row r="41" spans="1:32" ht="128.25">
      <c r="A41" s="71" t="s">
        <v>88</v>
      </c>
      <c r="B41" s="70"/>
      <c r="C41" s="21" t="s">
        <v>155</v>
      </c>
      <c r="D41" s="11" t="s">
        <v>156</v>
      </c>
      <c r="E41" s="11" t="s">
        <v>157</v>
      </c>
      <c r="F41" s="11" t="s">
        <v>158</v>
      </c>
      <c r="G41" s="23" t="s">
        <v>103</v>
      </c>
      <c r="H41" s="11" t="s">
        <v>113</v>
      </c>
      <c r="I41" s="22" t="s">
        <v>159</v>
      </c>
      <c r="J41" s="29" t="s">
        <v>151</v>
      </c>
      <c r="K41" s="29" t="s">
        <v>160</v>
      </c>
      <c r="L41" s="11" t="s">
        <v>107</v>
      </c>
      <c r="M41" s="33" t="s">
        <v>84</v>
      </c>
      <c r="N41" s="32">
        <v>26296</v>
      </c>
      <c r="O41" s="32">
        <v>26292</v>
      </c>
      <c r="P41" s="16"/>
      <c r="Q41" s="12" t="s">
        <v>153</v>
      </c>
      <c r="R41" s="11" t="s">
        <v>161</v>
      </c>
      <c r="S41" s="11">
        <f ca="1">IFERROR(__xludf.DUMMYFUNCTION("""COMPUTED_VALUE"""),0)</f>
        <v>0</v>
      </c>
      <c r="T41" s="11">
        <f ca="1">IFERROR(__xludf.DUMMYFUNCTION("""COMPUTED_VALUE"""),0)</f>
        <v>0</v>
      </c>
      <c r="U41" s="11">
        <f ca="1">IFERROR(__xludf.DUMMYFUNCTION("""COMPUTED_VALUE"""),6573)</f>
        <v>6573</v>
      </c>
      <c r="V41" s="11">
        <f ca="1">IFERROR(__xludf.DUMMYFUNCTION("""COMPUTED_VALUE"""),0)</f>
        <v>0</v>
      </c>
      <c r="W41" s="11">
        <f ca="1">IFERROR(__xludf.DUMMYFUNCTION("""COMPUTED_VALUE"""),4382)</f>
        <v>4382</v>
      </c>
      <c r="X41" s="11">
        <f ca="1">IFERROR(__xludf.DUMMYFUNCTION("""COMPUTED_VALUE"""),2191)</f>
        <v>2191</v>
      </c>
      <c r="Y41" s="11">
        <f ca="1">IFERROR(__xludf.DUMMYFUNCTION("""COMPUTED_VALUE"""),2322)</f>
        <v>2322</v>
      </c>
      <c r="Z41" s="11">
        <f ca="1">IFERROR(__xludf.DUMMYFUNCTION("""COMPUTED_VALUE"""),2322)</f>
        <v>2322</v>
      </c>
      <c r="AA41" s="11">
        <f ca="1">IFERROR(__xludf.DUMMYFUNCTION("""COMPUTED_VALUE"""),4644)</f>
        <v>4644</v>
      </c>
      <c r="AB41" s="11">
        <f ca="1">IFERROR(__xludf.DUMMYFUNCTION("""COMPUTED_VALUE"""),0)</f>
        <v>0</v>
      </c>
      <c r="AC41" s="11">
        <f ca="1">IFERROR(__xludf.DUMMYFUNCTION("""COMPUTED_VALUE"""),4644)</f>
        <v>4644</v>
      </c>
      <c r="AD41" s="11">
        <f ca="1">IFERROR(__xludf.DUMMYFUNCTION("""COMPUTED_VALUE"""),0)</f>
        <v>0</v>
      </c>
      <c r="AE41" s="20">
        <f t="shared" ca="1" si="0"/>
        <v>6573</v>
      </c>
      <c r="AF41" s="114"/>
    </row>
    <row r="42" spans="1:32" ht="156.75">
      <c r="A42" s="71" t="s">
        <v>88</v>
      </c>
      <c r="B42" s="70"/>
      <c r="C42" s="21" t="s">
        <v>162</v>
      </c>
      <c r="D42" s="11" t="s">
        <v>163</v>
      </c>
      <c r="E42" s="11" t="s">
        <v>164</v>
      </c>
      <c r="F42" s="11" t="s">
        <v>165</v>
      </c>
      <c r="G42" s="23" t="s">
        <v>103</v>
      </c>
      <c r="H42" s="11" t="s">
        <v>113</v>
      </c>
      <c r="I42" s="22" t="s">
        <v>150</v>
      </c>
      <c r="J42" s="29" t="s">
        <v>151</v>
      </c>
      <c r="K42" s="29" t="s">
        <v>152</v>
      </c>
      <c r="L42" s="11" t="s">
        <v>107</v>
      </c>
      <c r="M42" s="33" t="s">
        <v>84</v>
      </c>
      <c r="N42" s="34">
        <v>4560</v>
      </c>
      <c r="O42" s="32">
        <v>4020</v>
      </c>
      <c r="P42" s="16"/>
      <c r="Q42" s="12" t="s">
        <v>153</v>
      </c>
      <c r="R42" s="11" t="s">
        <v>166</v>
      </c>
      <c r="S42" s="11">
        <f ca="1">IFERROR(__xludf.DUMMYFUNCTION("""COMPUTED_VALUE"""),0)</f>
        <v>0</v>
      </c>
      <c r="T42" s="11">
        <f ca="1">IFERROR(__xludf.DUMMYFUNCTION("""COMPUTED_VALUE"""),0)</f>
        <v>0</v>
      </c>
      <c r="U42" s="11">
        <f ca="1">IFERROR(__xludf.DUMMYFUNCTION("""COMPUTED_VALUE"""),1005)</f>
        <v>1005</v>
      </c>
      <c r="V42" s="11">
        <f ca="1">IFERROR(__xludf.DUMMYFUNCTION("""COMPUTED_VALUE"""),0)</f>
        <v>0</v>
      </c>
      <c r="W42" s="11">
        <f ca="1">IFERROR(__xludf.DUMMYFUNCTION("""COMPUTED_VALUE"""),670)</f>
        <v>670</v>
      </c>
      <c r="X42" s="11">
        <f ca="1">IFERROR(__xludf.DUMMYFUNCTION("""COMPUTED_VALUE"""),335)</f>
        <v>335</v>
      </c>
      <c r="Y42" s="11">
        <f ca="1">IFERROR(__xludf.DUMMYFUNCTION("""COMPUTED_VALUE"""),335)</f>
        <v>335</v>
      </c>
      <c r="Z42" s="11">
        <f ca="1">IFERROR(__xludf.DUMMYFUNCTION("""COMPUTED_VALUE"""),335)</f>
        <v>335</v>
      </c>
      <c r="AA42" s="11">
        <f ca="1">IFERROR(__xludf.DUMMYFUNCTION("""COMPUTED_VALUE"""),670)</f>
        <v>670</v>
      </c>
      <c r="AB42" s="11">
        <f ca="1">IFERROR(__xludf.DUMMYFUNCTION("""COMPUTED_VALUE"""),0)</f>
        <v>0</v>
      </c>
      <c r="AC42" s="11">
        <f ca="1">IFERROR(__xludf.DUMMYFUNCTION("""COMPUTED_VALUE"""),670)</f>
        <v>670</v>
      </c>
      <c r="AD42" s="11">
        <f ca="1">IFERROR(__xludf.DUMMYFUNCTION("""COMPUTED_VALUE"""),0)</f>
        <v>0</v>
      </c>
      <c r="AE42" s="20">
        <f t="shared" ca="1" si="0"/>
        <v>1005</v>
      </c>
      <c r="AF42" s="114"/>
    </row>
    <row r="43" spans="1:32" ht="114">
      <c r="A43" s="127" t="s">
        <v>128</v>
      </c>
      <c r="B43" s="116"/>
      <c r="C43" s="117" t="s">
        <v>167</v>
      </c>
      <c r="D43" s="118" t="s">
        <v>168</v>
      </c>
      <c r="E43" s="118" t="s">
        <v>169</v>
      </c>
      <c r="F43" s="118" t="s">
        <v>170</v>
      </c>
      <c r="G43" s="120" t="s">
        <v>103</v>
      </c>
      <c r="H43" s="118" t="s">
        <v>113</v>
      </c>
      <c r="I43" s="118" t="s">
        <v>171</v>
      </c>
      <c r="J43" s="128" t="s">
        <v>172</v>
      </c>
      <c r="K43" s="128" t="s">
        <v>173</v>
      </c>
      <c r="L43" s="118" t="s">
        <v>107</v>
      </c>
      <c r="M43" s="134" t="s">
        <v>84</v>
      </c>
      <c r="N43" s="135">
        <v>7997</v>
      </c>
      <c r="O43" s="130">
        <v>6000</v>
      </c>
      <c r="P43" s="136"/>
      <c r="Q43" s="118" t="s">
        <v>174</v>
      </c>
      <c r="R43" s="118" t="s">
        <v>175</v>
      </c>
      <c r="S43" s="118">
        <f ca="1">IFERROR(__xludf.DUMMYFUNCTION("ARRAYFORMULA(VALUE(QUERY((importrange(""1aBliDWQx3PghbTc2D0usoHQ1DjKFbMqNouzsCcQtNeg"",""TOTALES!E2:P2"")),""Select*"",1)))"),669)</f>
        <v>669</v>
      </c>
      <c r="T43" s="118">
        <f ca="1">IFERROR(__xludf.DUMMYFUNCTION("""COMPUTED_VALUE"""),562)</f>
        <v>562</v>
      </c>
      <c r="U43" s="118">
        <f ca="1">IFERROR(__xludf.DUMMYFUNCTION("""COMPUTED_VALUE"""),709)</f>
        <v>709</v>
      </c>
      <c r="V43" s="118">
        <f ca="1">IFERROR(__xludf.DUMMYFUNCTION("""COMPUTED_VALUE"""),297)</f>
        <v>297</v>
      </c>
      <c r="W43" s="118">
        <f ca="1">IFERROR(__xludf.DUMMYFUNCTION("""COMPUTED_VALUE"""),556)</f>
        <v>556</v>
      </c>
      <c r="X43" s="118">
        <f ca="1">IFERROR(__xludf.DUMMYFUNCTION("""COMPUTED_VALUE"""),666)</f>
        <v>666</v>
      </c>
      <c r="Y43" s="118">
        <f ca="1">IFERROR(__xludf.DUMMYFUNCTION("""COMPUTED_VALUE"""),643)</f>
        <v>643</v>
      </c>
      <c r="Z43" s="118">
        <f ca="1">IFERROR(__xludf.DUMMYFUNCTION("""COMPUTED_VALUE"""),785)</f>
        <v>785</v>
      </c>
      <c r="AA43" s="118">
        <f ca="1">IFERROR(__xludf.DUMMYFUNCTION("""COMPUTED_VALUE"""),707)</f>
        <v>707</v>
      </c>
      <c r="AB43" s="118">
        <f ca="1">IFERROR(__xludf.DUMMYFUNCTION("""COMPUTED_VALUE"""),661)</f>
        <v>661</v>
      </c>
      <c r="AC43" s="118">
        <f ca="1">IFERROR(__xludf.DUMMYFUNCTION("""COMPUTED_VALUE"""),419)</f>
        <v>419</v>
      </c>
      <c r="AD43" s="118">
        <f ca="1">IFERROR(__xludf.DUMMYFUNCTION("""COMPUTED_VALUE"""),229)</f>
        <v>229</v>
      </c>
      <c r="AE43" s="126">
        <f t="shared" ca="1" si="0"/>
        <v>1940</v>
      </c>
      <c r="AF43" s="114">
        <f t="shared" ref="AF43:AF44" ca="1" si="2">AE43/O43</f>
        <v>0.32333333333333331</v>
      </c>
    </row>
    <row r="44" spans="1:32" ht="128.25">
      <c r="A44" s="127" t="s">
        <v>74</v>
      </c>
      <c r="B44" s="116"/>
      <c r="C44" s="117" t="s">
        <v>176</v>
      </c>
      <c r="D44" s="118" t="s">
        <v>177</v>
      </c>
      <c r="E44" s="118" t="s">
        <v>178</v>
      </c>
      <c r="F44" s="118" t="s">
        <v>179</v>
      </c>
      <c r="G44" s="118" t="s">
        <v>103</v>
      </c>
      <c r="H44" s="118" t="s">
        <v>113</v>
      </c>
      <c r="I44" s="118" t="s">
        <v>374</v>
      </c>
      <c r="J44" s="118" t="s">
        <v>181</v>
      </c>
      <c r="K44" s="118" t="s">
        <v>375</v>
      </c>
      <c r="L44" s="118" t="s">
        <v>107</v>
      </c>
      <c r="M44" s="118" t="s">
        <v>183</v>
      </c>
      <c r="N44" s="118">
        <v>892</v>
      </c>
      <c r="O44" s="118">
        <v>850</v>
      </c>
      <c r="P44" s="118"/>
      <c r="Q44" s="118" t="s">
        <v>184</v>
      </c>
      <c r="R44" s="118" t="s">
        <v>185</v>
      </c>
      <c r="S44" s="118">
        <f ca="1">IFERROR(__xludf.DUMMYFUNCTION("ARRAYFORMULA(VALUE(QUERY((importrange(""1PzLDbnbOgsxlP7TgXOuZl3-wTut_GS_XXcsA4lagmIs"",""TOTALES!E2:P3"")),""Select*"",1)))"),654)</f>
        <v>654</v>
      </c>
      <c r="T44" s="118">
        <f ca="1">IFERROR(__xludf.DUMMYFUNCTION("""COMPUTED_VALUE"""),914)</f>
        <v>914</v>
      </c>
      <c r="U44" s="118">
        <f ca="1">IFERROR(__xludf.DUMMYFUNCTION("""COMPUTED_VALUE"""),724)</f>
        <v>724</v>
      </c>
      <c r="V44" s="118">
        <f ca="1">IFERROR(__xludf.DUMMYFUNCTION("""COMPUTED_VALUE"""),678)</f>
        <v>678</v>
      </c>
      <c r="W44" s="118">
        <f ca="1">IFERROR(__xludf.DUMMYFUNCTION("""COMPUTED_VALUE"""),878)</f>
        <v>878</v>
      </c>
      <c r="X44" s="118">
        <f ca="1">IFERROR(__xludf.DUMMYFUNCTION("""COMPUTED_VALUE"""),858)</f>
        <v>858</v>
      </c>
      <c r="Y44" s="118">
        <f ca="1">IFERROR(__xludf.DUMMYFUNCTION("""COMPUTED_VALUE"""),812)</f>
        <v>812</v>
      </c>
      <c r="Z44" s="118">
        <f ca="1">IFERROR(__xludf.DUMMYFUNCTION("""COMPUTED_VALUE"""),883)</f>
        <v>883</v>
      </c>
      <c r="AA44" s="118">
        <f ca="1">IFERROR(__xludf.DUMMYFUNCTION("""COMPUTED_VALUE"""),724)</f>
        <v>724</v>
      </c>
      <c r="AB44" s="118">
        <f ca="1">IFERROR(__xludf.DUMMYFUNCTION("""COMPUTED_VALUE"""),891)</f>
        <v>891</v>
      </c>
      <c r="AC44" s="118">
        <f ca="1">IFERROR(__xludf.DUMMYFUNCTION("""COMPUTED_VALUE"""),806)</f>
        <v>806</v>
      </c>
      <c r="AD44" s="118">
        <f ca="1">IFERROR(__xludf.DUMMYFUNCTION("""COMPUTED_VALUE"""),625)</f>
        <v>625</v>
      </c>
      <c r="AE44" s="126">
        <f t="shared" ca="1" si="0"/>
        <v>2292</v>
      </c>
      <c r="AF44" s="114">
        <f t="shared" ca="1" si="2"/>
        <v>2.696470588235294</v>
      </c>
    </row>
    <row r="45" spans="1:32" ht="128.25">
      <c r="A45" s="71" t="s">
        <v>88</v>
      </c>
      <c r="B45" s="70"/>
      <c r="C45" s="21" t="s">
        <v>186</v>
      </c>
      <c r="D45" s="11" t="s">
        <v>187</v>
      </c>
      <c r="E45" s="11" t="s">
        <v>188</v>
      </c>
      <c r="F45" s="11" t="s">
        <v>189</v>
      </c>
      <c r="G45" s="11" t="s">
        <v>103</v>
      </c>
      <c r="H45" s="11" t="s">
        <v>113</v>
      </c>
      <c r="I45" s="11" t="s">
        <v>190</v>
      </c>
      <c r="J45" s="11" t="s">
        <v>191</v>
      </c>
      <c r="K45" s="11" t="s">
        <v>192</v>
      </c>
      <c r="L45" s="11" t="s">
        <v>107</v>
      </c>
      <c r="M45" s="11" t="s">
        <v>84</v>
      </c>
      <c r="N45" s="11" t="s">
        <v>85</v>
      </c>
      <c r="O45" s="11">
        <v>15000</v>
      </c>
      <c r="P45" s="11"/>
      <c r="Q45" s="11" t="s">
        <v>184</v>
      </c>
      <c r="R45" s="11" t="s">
        <v>185</v>
      </c>
      <c r="S45" s="11">
        <f ca="1">IFERROR(__xludf.DUMMYFUNCTION("""COMPUTED_VALUE"""),1336)</f>
        <v>1336</v>
      </c>
      <c r="T45" s="11">
        <f ca="1">IFERROR(__xludf.DUMMYFUNCTION("""COMPUTED_VALUE"""),1635)</f>
        <v>1635</v>
      </c>
      <c r="U45" s="11">
        <f ca="1">IFERROR(__xludf.DUMMYFUNCTION("""COMPUTED_VALUE"""),1178)</f>
        <v>1178</v>
      </c>
      <c r="V45" s="11">
        <f ca="1">IFERROR(__xludf.DUMMYFUNCTION("""COMPUTED_VALUE"""),819)</f>
        <v>819</v>
      </c>
      <c r="W45" s="11">
        <f ca="1">IFERROR(__xludf.DUMMYFUNCTION("""COMPUTED_VALUE"""),1270)</f>
        <v>1270</v>
      </c>
      <c r="X45" s="11">
        <f ca="1">IFERROR(__xludf.DUMMYFUNCTION("""COMPUTED_VALUE"""),1426)</f>
        <v>1426</v>
      </c>
      <c r="Y45" s="11">
        <f ca="1">IFERROR(__xludf.DUMMYFUNCTION("""COMPUTED_VALUE"""),1258)</f>
        <v>1258</v>
      </c>
      <c r="Z45" s="11">
        <f ca="1">IFERROR(__xludf.DUMMYFUNCTION("""COMPUTED_VALUE"""),1512)</f>
        <v>1512</v>
      </c>
      <c r="AA45" s="11">
        <f ca="1">IFERROR(__xludf.DUMMYFUNCTION("""COMPUTED_VALUE"""),1160)</f>
        <v>1160</v>
      </c>
      <c r="AB45" s="11">
        <f ca="1">IFERROR(__xludf.DUMMYFUNCTION("""COMPUTED_VALUE"""),1110)</f>
        <v>1110</v>
      </c>
      <c r="AC45" s="11">
        <f ca="1">IFERROR(__xludf.DUMMYFUNCTION("""COMPUTED_VALUE"""),1179)</f>
        <v>1179</v>
      </c>
      <c r="AD45" s="11">
        <f ca="1">IFERROR(__xludf.DUMMYFUNCTION("""COMPUTED_VALUE"""),679)</f>
        <v>679</v>
      </c>
      <c r="AE45" s="20">
        <f t="shared" ca="1" si="0"/>
        <v>4149</v>
      </c>
      <c r="AF45" s="114"/>
    </row>
    <row r="46" spans="1:32" ht="128.25">
      <c r="A46" s="127" t="s">
        <v>88</v>
      </c>
      <c r="B46" s="116"/>
      <c r="C46" s="117" t="s">
        <v>193</v>
      </c>
      <c r="D46" s="118" t="s">
        <v>194</v>
      </c>
      <c r="E46" s="118" t="s">
        <v>195</v>
      </c>
      <c r="F46" s="118" t="s">
        <v>196</v>
      </c>
      <c r="G46" s="120" t="s">
        <v>103</v>
      </c>
      <c r="H46" s="118" t="s">
        <v>113</v>
      </c>
      <c r="I46" s="119" t="s">
        <v>197</v>
      </c>
      <c r="J46" s="128" t="s">
        <v>198</v>
      </c>
      <c r="K46" s="128" t="s">
        <v>199</v>
      </c>
      <c r="L46" s="118" t="s">
        <v>107</v>
      </c>
      <c r="M46" s="134" t="s">
        <v>84</v>
      </c>
      <c r="N46" s="135">
        <v>28995</v>
      </c>
      <c r="O46" s="130">
        <v>29000</v>
      </c>
      <c r="P46" s="136"/>
      <c r="Q46" s="125" t="s">
        <v>200</v>
      </c>
      <c r="R46" s="118" t="s">
        <v>201</v>
      </c>
      <c r="S46" s="118">
        <f ca="1">IFERROR(__xludf.DUMMYFUNCTION("ARRAYFORMULA(VALUE(QUERY((importrange(""1NOerfbJeLk-S8tb0Ya-COpXnQm--OVonOlYwD7P0zF0"",""TOTALES!E2:P2"")),""Select*"",1)))"),1527)</f>
        <v>1527</v>
      </c>
      <c r="T46" s="118">
        <f ca="1">IFERROR(__xludf.DUMMYFUNCTION("""COMPUTED_VALUE"""),4190)</f>
        <v>4190</v>
      </c>
      <c r="U46" s="118">
        <f ca="1">IFERROR(__xludf.DUMMYFUNCTION("""COMPUTED_VALUE"""),1152)</f>
        <v>1152</v>
      </c>
      <c r="V46" s="118">
        <f ca="1">IFERROR(__xludf.DUMMYFUNCTION("""COMPUTED_VALUE"""),1286)</f>
        <v>1286</v>
      </c>
      <c r="W46" s="118">
        <f ca="1">IFERROR(__xludf.DUMMYFUNCTION("""COMPUTED_VALUE"""),3830)</f>
        <v>3830</v>
      </c>
      <c r="X46" s="118">
        <f ca="1">IFERROR(__xludf.DUMMYFUNCTION("""COMPUTED_VALUE"""),2868)</f>
        <v>2868</v>
      </c>
      <c r="Y46" s="118">
        <f ca="1">IFERROR(__xludf.DUMMYFUNCTION("""COMPUTED_VALUE"""),2571)</f>
        <v>2571</v>
      </c>
      <c r="Z46" s="118">
        <f ca="1">IFERROR(__xludf.DUMMYFUNCTION("""COMPUTED_VALUE"""),3079)</f>
        <v>3079</v>
      </c>
      <c r="AA46" s="118">
        <f ca="1">IFERROR(__xludf.DUMMYFUNCTION("""COMPUTED_VALUE"""),2526)</f>
        <v>2526</v>
      </c>
      <c r="AB46" s="118">
        <f ca="1">IFERROR(__xludf.DUMMYFUNCTION("""COMPUTED_VALUE"""),3187)</f>
        <v>3187</v>
      </c>
      <c r="AC46" s="118">
        <f ca="1">IFERROR(__xludf.DUMMYFUNCTION("""COMPUTED_VALUE"""),2483)</f>
        <v>2483</v>
      </c>
      <c r="AD46" s="118">
        <f ca="1">IFERROR(__xludf.DUMMYFUNCTION("""COMPUTED_VALUE"""),365)</f>
        <v>365</v>
      </c>
      <c r="AE46" s="126">
        <f t="shared" ca="1" si="0"/>
        <v>6869</v>
      </c>
      <c r="AF46" s="114">
        <f t="shared" ref="AF46:AF47" ca="1" si="3">AE46/O46</f>
        <v>0.23686206896551723</v>
      </c>
    </row>
    <row r="47" spans="1:32" ht="171">
      <c r="A47" s="127" t="s">
        <v>74</v>
      </c>
      <c r="B47" s="116"/>
      <c r="C47" s="117" t="s">
        <v>202</v>
      </c>
      <c r="D47" s="118" t="s">
        <v>203</v>
      </c>
      <c r="E47" s="118" t="s">
        <v>204</v>
      </c>
      <c r="F47" s="118" t="s">
        <v>205</v>
      </c>
      <c r="G47" s="120" t="s">
        <v>103</v>
      </c>
      <c r="H47" s="118" t="s">
        <v>113</v>
      </c>
      <c r="I47" s="119" t="s">
        <v>376</v>
      </c>
      <c r="J47" s="128" t="s">
        <v>207</v>
      </c>
      <c r="K47" s="128" t="s">
        <v>377</v>
      </c>
      <c r="L47" s="118" t="s">
        <v>107</v>
      </c>
      <c r="M47" s="134" t="s">
        <v>183</v>
      </c>
      <c r="N47" s="118" t="s">
        <v>85</v>
      </c>
      <c r="O47" s="135">
        <v>500</v>
      </c>
      <c r="P47" s="136"/>
      <c r="Q47" s="125" t="s">
        <v>117</v>
      </c>
      <c r="R47" s="118" t="s">
        <v>208</v>
      </c>
      <c r="S47" s="118">
        <f ca="1">IFERROR(__xludf.DUMMYFUNCTION("ARRAYFORMULA(VALUE(QUERY((importrange(""1QqO90t5YaypRBmLyuAF3V4pupHFwwwLeoeQ3Rj52OIE"",""TOTALES!E2:P3"")),""Select*"",1)))"),510)</f>
        <v>510</v>
      </c>
      <c r="T47" s="118">
        <f ca="1">IFERROR(__xludf.DUMMYFUNCTION("""COMPUTED_VALUE"""),510)</f>
        <v>510</v>
      </c>
      <c r="U47" s="118">
        <f ca="1">IFERROR(__xludf.DUMMYFUNCTION("""COMPUTED_VALUE"""),510)</f>
        <v>510</v>
      </c>
      <c r="V47" s="118">
        <f ca="1">IFERROR(__xludf.DUMMYFUNCTION("""COMPUTED_VALUE"""),510)</f>
        <v>510</v>
      </c>
      <c r="W47" s="118">
        <f ca="1">IFERROR(__xludf.DUMMYFUNCTION("""COMPUTED_VALUE"""),510)</f>
        <v>510</v>
      </c>
      <c r="X47" s="118">
        <f ca="1">IFERROR(__xludf.DUMMYFUNCTION("""COMPUTED_VALUE"""),510)</f>
        <v>510</v>
      </c>
      <c r="Y47" s="118">
        <f ca="1">IFERROR(__xludf.DUMMYFUNCTION("""COMPUTED_VALUE"""),495)</f>
        <v>495</v>
      </c>
      <c r="Z47" s="118">
        <f ca="1">IFERROR(__xludf.DUMMYFUNCTION("""COMPUTED_VALUE"""),613)</f>
        <v>613</v>
      </c>
      <c r="AA47" s="118">
        <f ca="1">IFERROR(__xludf.DUMMYFUNCTION("""COMPUTED_VALUE"""),611)</f>
        <v>611</v>
      </c>
      <c r="AB47" s="118">
        <f ca="1">IFERROR(__xludf.DUMMYFUNCTION("""COMPUTED_VALUE"""),606)</f>
        <v>606</v>
      </c>
      <c r="AC47" s="118">
        <f ca="1">IFERROR(__xludf.DUMMYFUNCTION("""COMPUTED_VALUE"""),610)</f>
        <v>610</v>
      </c>
      <c r="AD47" s="118">
        <f ca="1">IFERROR(__xludf.DUMMYFUNCTION("""COMPUTED_VALUE"""),613)</f>
        <v>613</v>
      </c>
      <c r="AE47" s="126">
        <f t="shared" ca="1" si="0"/>
        <v>1530</v>
      </c>
      <c r="AF47" s="114">
        <f t="shared" ca="1" si="3"/>
        <v>3.06</v>
      </c>
    </row>
    <row r="48" spans="1:32" ht="171">
      <c r="A48" s="71" t="s">
        <v>88</v>
      </c>
      <c r="B48" s="70"/>
      <c r="C48" s="21" t="s">
        <v>209</v>
      </c>
      <c r="D48" s="11" t="s">
        <v>210</v>
      </c>
      <c r="E48" s="11" t="s">
        <v>211</v>
      </c>
      <c r="F48" s="11" t="s">
        <v>212</v>
      </c>
      <c r="G48" s="23" t="s">
        <v>103</v>
      </c>
      <c r="H48" s="11" t="s">
        <v>113</v>
      </c>
      <c r="I48" s="22" t="s">
        <v>213</v>
      </c>
      <c r="J48" s="29" t="s">
        <v>214</v>
      </c>
      <c r="K48" s="29" t="s">
        <v>215</v>
      </c>
      <c r="L48" s="11" t="s">
        <v>107</v>
      </c>
      <c r="M48" s="33" t="s">
        <v>84</v>
      </c>
      <c r="N48" s="34">
        <v>203457</v>
      </c>
      <c r="O48" s="34">
        <v>224400</v>
      </c>
      <c r="P48" s="16"/>
      <c r="Q48" s="12" t="s">
        <v>117</v>
      </c>
      <c r="R48" s="11" t="s">
        <v>208</v>
      </c>
      <c r="S48" s="11">
        <f ca="1">IFERROR(__xludf.DUMMYFUNCTION("""COMPUTED_VALUE"""),22440)</f>
        <v>22440</v>
      </c>
      <c r="T48" s="11">
        <f ca="1">IFERROR(__xludf.DUMMYFUNCTION("""COMPUTED_VALUE"""),19380)</f>
        <v>19380</v>
      </c>
      <c r="U48" s="11">
        <f ca="1">IFERROR(__xludf.DUMMYFUNCTION("""COMPUTED_VALUE"""),23460)</f>
        <v>23460</v>
      </c>
      <c r="V48" s="11">
        <f ca="1">IFERROR(__xludf.DUMMYFUNCTION("""COMPUTED_VALUE"""),10200)</f>
        <v>10200</v>
      </c>
      <c r="W48" s="11">
        <f ca="1">IFERROR(__xludf.DUMMYFUNCTION("""COMPUTED_VALUE"""),22440)</f>
        <v>22440</v>
      </c>
      <c r="X48" s="11">
        <f ca="1">IFERROR(__xludf.DUMMYFUNCTION("""COMPUTED_VALUE"""),22440)</f>
        <v>22440</v>
      </c>
      <c r="Y48" s="11">
        <f ca="1">IFERROR(__xludf.DUMMYFUNCTION("""COMPUTED_VALUE"""),20790)</f>
        <v>20790</v>
      </c>
      <c r="Z48" s="11">
        <f ca="1">IFERROR(__xludf.DUMMYFUNCTION("""COMPUTED_VALUE"""),23230)</f>
        <v>23230</v>
      </c>
      <c r="AA48" s="11">
        <f ca="1">IFERROR(__xludf.DUMMYFUNCTION("""COMPUTED_VALUE"""),24400)</f>
        <v>24400</v>
      </c>
      <c r="AB48" s="11">
        <f ca="1">IFERROR(__xludf.DUMMYFUNCTION("""COMPUTED_VALUE"""),25452)</f>
        <v>25452</v>
      </c>
      <c r="AC48" s="11">
        <f ca="1">IFERROR(__xludf.DUMMYFUNCTION("""COMPUTED_VALUE"""),24400)</f>
        <v>24400</v>
      </c>
      <c r="AD48" s="11">
        <f ca="1">IFERROR(__xludf.DUMMYFUNCTION("""COMPUTED_VALUE"""),13486)</f>
        <v>13486</v>
      </c>
      <c r="AE48" s="20">
        <f t="shared" ca="1" si="0"/>
        <v>65280</v>
      </c>
      <c r="AF48" s="114"/>
    </row>
    <row r="49" spans="1:32" ht="114">
      <c r="A49" s="71" t="s">
        <v>74</v>
      </c>
      <c r="B49" s="70"/>
      <c r="C49" s="21" t="s">
        <v>216</v>
      </c>
      <c r="D49" s="35" t="s">
        <v>217</v>
      </c>
      <c r="E49" s="35" t="s">
        <v>218</v>
      </c>
      <c r="F49" s="35" t="s">
        <v>219</v>
      </c>
      <c r="G49" s="36" t="s">
        <v>103</v>
      </c>
      <c r="H49" s="35" t="s">
        <v>113</v>
      </c>
      <c r="I49" s="35" t="s">
        <v>378</v>
      </c>
      <c r="J49" s="37" t="s">
        <v>221</v>
      </c>
      <c r="K49" s="37" t="s">
        <v>379</v>
      </c>
      <c r="L49" s="11" t="s">
        <v>107</v>
      </c>
      <c r="M49" s="38" t="s">
        <v>183</v>
      </c>
      <c r="N49" s="39" t="s">
        <v>85</v>
      </c>
      <c r="O49" s="39">
        <v>1300</v>
      </c>
      <c r="P49" s="41"/>
      <c r="Q49" s="11" t="s">
        <v>222</v>
      </c>
      <c r="R49" s="11" t="s">
        <v>223</v>
      </c>
      <c r="S49" s="11">
        <f ca="1">IFERROR(__xludf.DUMMYFUNCTION("ARRAYFORMULA(VALUE(QUERY((importrange(""1gzh_IplvT8FVpSpLrnqCIOVsZa98RVoxxYmSvikPos0"",""TOTALES!E2:P3"")),""Select*"",1)))"),1558)</f>
        <v>1558</v>
      </c>
      <c r="T49" s="11">
        <f ca="1">IFERROR(__xludf.DUMMYFUNCTION("""COMPUTED_VALUE"""),1711)</f>
        <v>1711</v>
      </c>
      <c r="U49" s="11">
        <f ca="1">IFERROR(__xludf.DUMMYFUNCTION("""COMPUTED_VALUE"""),1813)</f>
        <v>1813</v>
      </c>
      <c r="V49" s="11">
        <f ca="1">IFERROR(__xludf.DUMMYFUNCTION("""COMPUTED_VALUE"""),1440)</f>
        <v>1440</v>
      </c>
      <c r="W49" s="11">
        <f ca="1">IFERROR(__xludf.DUMMYFUNCTION("""COMPUTED_VALUE"""),1549)</f>
        <v>1549</v>
      </c>
      <c r="X49" s="11">
        <f ca="1">IFERROR(__xludf.DUMMYFUNCTION("""COMPUTED_VALUE"""),1492)</f>
        <v>1492</v>
      </c>
      <c r="Y49" s="11">
        <f ca="1">IFERROR(__xludf.DUMMYFUNCTION("""COMPUTED_VALUE"""),2318)</f>
        <v>2318</v>
      </c>
      <c r="Z49" s="11">
        <f ca="1">IFERROR(__xludf.DUMMYFUNCTION("""COMPUTED_VALUE"""),657)</f>
        <v>657</v>
      </c>
      <c r="AA49" s="11">
        <f ca="1">IFERROR(__xludf.DUMMYFUNCTION("""COMPUTED_VALUE"""),1780)</f>
        <v>1780</v>
      </c>
      <c r="AB49" s="11">
        <f ca="1">IFERROR(__xludf.DUMMYFUNCTION("""COMPUTED_VALUE"""),1821)</f>
        <v>1821</v>
      </c>
      <c r="AC49" s="11">
        <f ca="1">IFERROR(__xludf.DUMMYFUNCTION("""COMPUTED_VALUE"""),1785)</f>
        <v>1785</v>
      </c>
      <c r="AD49" s="11">
        <f ca="1">IFERROR(__xludf.DUMMYFUNCTION("""COMPUTED_VALUE"""),1281)</f>
        <v>1281</v>
      </c>
      <c r="AE49" s="20">
        <f t="shared" ca="1" si="0"/>
        <v>5082</v>
      </c>
      <c r="AF49" s="114"/>
    </row>
    <row r="50" spans="1:32" ht="99.75">
      <c r="A50" s="127" t="s">
        <v>88</v>
      </c>
      <c r="B50" s="116"/>
      <c r="C50" s="117" t="s">
        <v>224</v>
      </c>
      <c r="D50" s="118" t="s">
        <v>225</v>
      </c>
      <c r="E50" s="118" t="s">
        <v>226</v>
      </c>
      <c r="F50" s="118" t="s">
        <v>227</v>
      </c>
      <c r="G50" s="120" t="s">
        <v>103</v>
      </c>
      <c r="H50" s="118" t="s">
        <v>113</v>
      </c>
      <c r="I50" s="119" t="s">
        <v>380</v>
      </c>
      <c r="J50" s="128" t="s">
        <v>229</v>
      </c>
      <c r="K50" s="128" t="s">
        <v>379</v>
      </c>
      <c r="L50" s="118" t="s">
        <v>107</v>
      </c>
      <c r="M50" s="134" t="s">
        <v>183</v>
      </c>
      <c r="N50" s="136"/>
      <c r="O50" s="135">
        <v>260</v>
      </c>
      <c r="P50" s="136"/>
      <c r="Q50" s="118" t="s">
        <v>230</v>
      </c>
      <c r="R50" s="118" t="s">
        <v>231</v>
      </c>
      <c r="S50" s="118">
        <f ca="1">IFERROR(__xludf.DUMMYFUNCTION("""COMPUTED_VALUE"""),276)</f>
        <v>276</v>
      </c>
      <c r="T50" s="118">
        <f ca="1">IFERROR(__xludf.DUMMYFUNCTION("""COMPUTED_VALUE"""),307)</f>
        <v>307</v>
      </c>
      <c r="U50" s="118">
        <f ca="1">IFERROR(__xludf.DUMMYFUNCTION("""COMPUTED_VALUE"""),293)</f>
        <v>293</v>
      </c>
      <c r="V50" s="118">
        <f ca="1">IFERROR(__xludf.DUMMYFUNCTION("""COMPUTED_VALUE"""),261)</f>
        <v>261</v>
      </c>
      <c r="W50" s="118">
        <f ca="1">IFERROR(__xludf.DUMMYFUNCTION("""COMPUTED_VALUE"""),294)</f>
        <v>294</v>
      </c>
      <c r="X50" s="118">
        <f ca="1">IFERROR(__xludf.DUMMYFUNCTION("""COMPUTED_VALUE"""),268)</f>
        <v>268</v>
      </c>
      <c r="Y50" s="118">
        <f ca="1">IFERROR(__xludf.DUMMYFUNCTION("""COMPUTED_VALUE"""),269)</f>
        <v>269</v>
      </c>
      <c r="Z50" s="118">
        <f ca="1">IFERROR(__xludf.DUMMYFUNCTION("""COMPUTED_VALUE"""),91)</f>
        <v>91</v>
      </c>
      <c r="AA50" s="118">
        <f ca="1">IFERROR(__xludf.DUMMYFUNCTION("""COMPUTED_VALUE"""),238)</f>
        <v>238</v>
      </c>
      <c r="AB50" s="118">
        <f ca="1">IFERROR(__xludf.DUMMYFUNCTION("""COMPUTED_VALUE"""),291)</f>
        <v>291</v>
      </c>
      <c r="AC50" s="118">
        <f ca="1">IFERROR(__xludf.DUMMYFUNCTION("""COMPUTED_VALUE"""),289)</f>
        <v>289</v>
      </c>
      <c r="AD50" s="118">
        <f ca="1">IFERROR(__xludf.DUMMYFUNCTION("""COMPUTED_VALUE"""),235)</f>
        <v>235</v>
      </c>
      <c r="AE50" s="126">
        <f t="shared" ca="1" si="0"/>
        <v>876</v>
      </c>
      <c r="AF50" s="114">
        <f t="shared" ref="AF50:AF51" ca="1" si="4">AE50/O50</f>
        <v>3.3692307692307693</v>
      </c>
    </row>
    <row r="51" spans="1:32" ht="99.75">
      <c r="A51" s="127" t="s">
        <v>74</v>
      </c>
      <c r="B51" s="116"/>
      <c r="C51" s="117" t="s">
        <v>232</v>
      </c>
      <c r="D51" s="118" t="s">
        <v>233</v>
      </c>
      <c r="E51" s="118" t="s">
        <v>234</v>
      </c>
      <c r="F51" s="118" t="s">
        <v>235</v>
      </c>
      <c r="G51" s="120" t="s">
        <v>103</v>
      </c>
      <c r="H51" s="118" t="s">
        <v>113</v>
      </c>
      <c r="I51" s="119" t="s">
        <v>236</v>
      </c>
      <c r="J51" s="128" t="s">
        <v>237</v>
      </c>
      <c r="K51" s="128" t="s">
        <v>238</v>
      </c>
      <c r="L51" s="118" t="s">
        <v>107</v>
      </c>
      <c r="M51" s="134" t="s">
        <v>84</v>
      </c>
      <c r="N51" s="135">
        <v>2037</v>
      </c>
      <c r="O51" s="135">
        <v>2030</v>
      </c>
      <c r="P51" s="136"/>
      <c r="Q51" s="125" t="s">
        <v>239</v>
      </c>
      <c r="R51" s="118" t="s">
        <v>240</v>
      </c>
      <c r="S51" s="118">
        <f ca="1">IFERROR(__xludf.DUMMYFUNCTION("ARRAYFORMULA(VALUE(QUERY((importrange(""1uq0-tclcwlKN4n207WGe9aYxfqRISdzRNcLeNfdql2A"",""TOTALES!E2:P3"")),""Select*"",1)))"),0)</f>
        <v>0</v>
      </c>
      <c r="T51" s="118">
        <f ca="1">IFERROR(__xludf.DUMMYFUNCTION("""COMPUTED_VALUE"""),0)</f>
        <v>0</v>
      </c>
      <c r="U51" s="118">
        <f ca="1">IFERROR(__xludf.DUMMYFUNCTION("""COMPUTED_VALUE"""),0)</f>
        <v>0</v>
      </c>
      <c r="V51" s="118">
        <f ca="1">IFERROR(__xludf.DUMMYFUNCTION("""COMPUTED_VALUE"""),0)</f>
        <v>0</v>
      </c>
      <c r="W51" s="118">
        <f ca="1">IFERROR(__xludf.DUMMYFUNCTION("""COMPUTED_VALUE"""),0)</f>
        <v>0</v>
      </c>
      <c r="X51" s="118">
        <f ca="1">IFERROR(__xludf.DUMMYFUNCTION("""COMPUTED_VALUE"""),0)</f>
        <v>0</v>
      </c>
      <c r="Y51" s="118">
        <f ca="1">IFERROR(__xludf.DUMMYFUNCTION("""COMPUTED_VALUE"""),2092)</f>
        <v>2092</v>
      </c>
      <c r="Z51" s="118">
        <f ca="1">IFERROR(__xludf.DUMMYFUNCTION("""COMPUTED_VALUE"""),0)</f>
        <v>0</v>
      </c>
      <c r="AA51" s="118">
        <f ca="1">IFERROR(__xludf.DUMMYFUNCTION("""COMPUTED_VALUE"""),0)</f>
        <v>0</v>
      </c>
      <c r="AB51" s="118">
        <f ca="1">IFERROR(__xludf.DUMMYFUNCTION("""COMPUTED_VALUE"""),0)</f>
        <v>0</v>
      </c>
      <c r="AC51" s="118">
        <f ca="1">IFERROR(__xludf.DUMMYFUNCTION("""COMPUTED_VALUE"""),0)</f>
        <v>0</v>
      </c>
      <c r="AD51" s="118">
        <f ca="1">IFERROR(__xludf.DUMMYFUNCTION("""COMPUTED_VALUE"""),0)</f>
        <v>0</v>
      </c>
      <c r="AE51" s="126">
        <f t="shared" ca="1" si="0"/>
        <v>0</v>
      </c>
      <c r="AF51" s="114">
        <f t="shared" ca="1" si="4"/>
        <v>0</v>
      </c>
    </row>
    <row r="52" spans="1:32" ht="99.75">
      <c r="A52" s="72" t="s">
        <v>88</v>
      </c>
      <c r="B52" s="70"/>
      <c r="C52" s="21" t="s">
        <v>241</v>
      </c>
      <c r="D52" s="11" t="s">
        <v>242</v>
      </c>
      <c r="E52" s="11" t="s">
        <v>243</v>
      </c>
      <c r="F52" s="11" t="s">
        <v>244</v>
      </c>
      <c r="G52" s="23" t="s">
        <v>103</v>
      </c>
      <c r="H52" s="11" t="s">
        <v>113</v>
      </c>
      <c r="I52" s="22" t="s">
        <v>245</v>
      </c>
      <c r="J52" s="29" t="s">
        <v>246</v>
      </c>
      <c r="K52" s="29" t="s">
        <v>247</v>
      </c>
      <c r="L52" s="11" t="s">
        <v>107</v>
      </c>
      <c r="M52" s="33" t="s">
        <v>84</v>
      </c>
      <c r="N52" s="11" t="s">
        <v>85</v>
      </c>
      <c r="O52" s="34">
        <v>1188</v>
      </c>
      <c r="P52" s="16"/>
      <c r="Q52" s="12" t="s">
        <v>248</v>
      </c>
      <c r="R52" s="11" t="s">
        <v>240</v>
      </c>
      <c r="S52" s="11">
        <f ca="1">IFERROR(__xludf.DUMMYFUNCTION("""COMPUTED_VALUE"""),99)</f>
        <v>99</v>
      </c>
      <c r="T52" s="11">
        <f ca="1">IFERROR(__xludf.DUMMYFUNCTION("""COMPUTED_VALUE"""),99)</f>
        <v>99</v>
      </c>
      <c r="U52" s="11">
        <f ca="1">IFERROR(__xludf.DUMMYFUNCTION("""COMPUTED_VALUE"""),99)</f>
        <v>99</v>
      </c>
      <c r="V52" s="11">
        <f ca="1">IFERROR(__xludf.DUMMYFUNCTION("""COMPUTED_VALUE"""),99)</f>
        <v>99</v>
      </c>
      <c r="W52" s="11">
        <f ca="1">IFERROR(__xludf.DUMMYFUNCTION("""COMPUTED_VALUE"""),99)</f>
        <v>99</v>
      </c>
      <c r="X52" s="11">
        <f ca="1">IFERROR(__xludf.DUMMYFUNCTION("""COMPUTED_VALUE"""),99)</f>
        <v>99</v>
      </c>
      <c r="Y52" s="11">
        <f ca="1">IFERROR(__xludf.DUMMYFUNCTION("""COMPUTED_VALUE"""),99)</f>
        <v>99</v>
      </c>
      <c r="Z52" s="11">
        <f ca="1">IFERROR(__xludf.DUMMYFUNCTION("""COMPUTED_VALUE"""),99)</f>
        <v>99</v>
      </c>
      <c r="AA52" s="11">
        <f ca="1">IFERROR(__xludf.DUMMYFUNCTION("""COMPUTED_VALUE"""),99)</f>
        <v>99</v>
      </c>
      <c r="AB52" s="11">
        <f ca="1">IFERROR(__xludf.DUMMYFUNCTION("""COMPUTED_VALUE"""),99)</f>
        <v>99</v>
      </c>
      <c r="AC52" s="11">
        <f ca="1">IFERROR(__xludf.DUMMYFUNCTION("""COMPUTED_VALUE"""),99)</f>
        <v>99</v>
      </c>
      <c r="AD52" s="11">
        <f ca="1">IFERROR(__xludf.DUMMYFUNCTION("""COMPUTED_VALUE"""),99)</f>
        <v>99</v>
      </c>
      <c r="AE52" s="20">
        <f t="shared" ca="1" si="0"/>
        <v>297</v>
      </c>
      <c r="AF52" s="114"/>
    </row>
    <row r="53" spans="1:32" ht="99.75">
      <c r="A53" s="90" t="s">
        <v>74</v>
      </c>
      <c r="B53" s="73" t="s">
        <v>98</v>
      </c>
      <c r="C53" s="42" t="s">
        <v>249</v>
      </c>
      <c r="D53" s="11" t="s">
        <v>250</v>
      </c>
      <c r="E53" s="11" t="s">
        <v>339</v>
      </c>
      <c r="F53" s="11" t="s">
        <v>112</v>
      </c>
      <c r="G53" s="11" t="s">
        <v>103</v>
      </c>
      <c r="H53" s="11" t="s">
        <v>79</v>
      </c>
      <c r="I53" s="11" t="s">
        <v>251</v>
      </c>
      <c r="J53" s="29" t="s">
        <v>252</v>
      </c>
      <c r="K53" s="29" t="s">
        <v>253</v>
      </c>
      <c r="L53" s="11" t="s">
        <v>107</v>
      </c>
      <c r="M53" s="11" t="s">
        <v>84</v>
      </c>
      <c r="N53" s="11">
        <v>4431</v>
      </c>
      <c r="O53" s="11">
        <v>5000</v>
      </c>
      <c r="P53" s="16"/>
      <c r="Q53" s="11" t="s">
        <v>254</v>
      </c>
      <c r="R53" s="11" t="s">
        <v>255</v>
      </c>
      <c r="S53" s="11">
        <f ca="1">IFERROR(__xludf.DUMMYFUNCTION("ARRAYFORMULA(VALUE(QUERY((importrange(""129OBcxqSDyZj96BM0JshWrjZR5LrrReqJk2O0W0jThk"",""TOTALES!E2:P3"")),""Select*"",1)))"),1984)</f>
        <v>1984</v>
      </c>
      <c r="T53" s="11">
        <f ca="1">IFERROR(__xludf.DUMMYFUNCTION("""COMPUTED_VALUE"""),1681)</f>
        <v>1681</v>
      </c>
      <c r="U53" s="11">
        <f ca="1">IFERROR(__xludf.DUMMYFUNCTION("""COMPUTED_VALUE"""),0)</f>
        <v>0</v>
      </c>
      <c r="V53" s="11">
        <f ca="1">IFERROR(__xludf.DUMMYFUNCTION("""COMPUTED_VALUE"""),0)</f>
        <v>0</v>
      </c>
      <c r="W53" s="11">
        <f ca="1">IFERROR(__xludf.DUMMYFUNCTION("""COMPUTED_VALUE"""),0)</f>
        <v>0</v>
      </c>
      <c r="X53" s="11">
        <f ca="1">IFERROR(__xludf.DUMMYFUNCTION("""COMPUTED_VALUE"""),0)</f>
        <v>0</v>
      </c>
      <c r="Y53" s="11">
        <f ca="1">IFERROR(__xludf.DUMMYFUNCTION("""COMPUTED_VALUE"""),145)</f>
        <v>145</v>
      </c>
      <c r="Z53" s="11">
        <f ca="1">IFERROR(__xludf.DUMMYFUNCTION("""COMPUTED_VALUE"""),41)</f>
        <v>41</v>
      </c>
      <c r="AA53" s="11">
        <f ca="1">IFERROR(__xludf.DUMMYFUNCTION("""COMPUTED_VALUE"""),33)</f>
        <v>33</v>
      </c>
      <c r="AB53" s="11">
        <f ca="1">IFERROR(__xludf.DUMMYFUNCTION("""COMPUTED_VALUE"""),0)</f>
        <v>0</v>
      </c>
      <c r="AC53" s="11">
        <f ca="1">IFERROR(__xludf.DUMMYFUNCTION("""COMPUTED_VALUE"""),0)</f>
        <v>0</v>
      </c>
      <c r="AD53" s="11">
        <f ca="1">IFERROR(__xludf.DUMMYFUNCTION("""COMPUTED_VALUE"""),1787)</f>
        <v>1787</v>
      </c>
      <c r="AE53" s="20">
        <f t="shared" ca="1" si="0"/>
        <v>3665</v>
      </c>
      <c r="AF53" s="114"/>
    </row>
    <row r="54" spans="1:32" ht="199.5">
      <c r="A54" s="70" t="s">
        <v>88</v>
      </c>
      <c r="B54" s="70"/>
      <c r="C54" s="43" t="s">
        <v>256</v>
      </c>
      <c r="D54" s="11" t="s">
        <v>257</v>
      </c>
      <c r="E54" s="11" t="s">
        <v>258</v>
      </c>
      <c r="F54" s="11" t="s">
        <v>259</v>
      </c>
      <c r="G54" s="11" t="s">
        <v>103</v>
      </c>
      <c r="H54" s="11" t="s">
        <v>113</v>
      </c>
      <c r="I54" s="11" t="s">
        <v>260</v>
      </c>
      <c r="J54" s="29" t="s">
        <v>261</v>
      </c>
      <c r="K54" s="29" t="s">
        <v>262</v>
      </c>
      <c r="L54" s="11" t="s">
        <v>107</v>
      </c>
      <c r="M54" s="11" t="s">
        <v>84</v>
      </c>
      <c r="N54" s="11">
        <v>17</v>
      </c>
      <c r="O54" s="11">
        <v>7</v>
      </c>
      <c r="P54" s="26"/>
      <c r="Q54" s="11" t="s">
        <v>263</v>
      </c>
      <c r="R54" s="11" t="s">
        <v>264</v>
      </c>
      <c r="S54" s="11">
        <f ca="1">IFERROR(__xludf.DUMMYFUNCTION("""COMPUTED_VALUE"""),1)</f>
        <v>1</v>
      </c>
      <c r="T54" s="11">
        <f ca="1">IFERROR(__xludf.DUMMYFUNCTION("""COMPUTED_VALUE"""),1)</f>
        <v>1</v>
      </c>
      <c r="U54" s="11">
        <f ca="1">IFERROR(__xludf.DUMMYFUNCTION("""COMPUTED_VALUE"""),2)</f>
        <v>2</v>
      </c>
      <c r="V54" s="11">
        <f ca="1">IFERROR(__xludf.DUMMYFUNCTION("""COMPUTED_VALUE"""),7)</f>
        <v>7</v>
      </c>
      <c r="W54" s="11">
        <f ca="1">IFERROR(__xludf.DUMMYFUNCTION("""COMPUTED_VALUE"""),0)</f>
        <v>0</v>
      </c>
      <c r="X54" s="11">
        <f ca="1">IFERROR(__xludf.DUMMYFUNCTION("""COMPUTED_VALUE"""),1)</f>
        <v>1</v>
      </c>
      <c r="Y54" s="11">
        <f ca="1">IFERROR(__xludf.DUMMYFUNCTION("""COMPUTED_VALUE"""),1)</f>
        <v>1</v>
      </c>
      <c r="Z54" s="11">
        <f ca="1">IFERROR(__xludf.DUMMYFUNCTION("""COMPUTED_VALUE"""),2)</f>
        <v>2</v>
      </c>
      <c r="AA54" s="11">
        <f ca="1">IFERROR(__xludf.DUMMYFUNCTION("""COMPUTED_VALUE"""),2)</f>
        <v>2</v>
      </c>
      <c r="AB54" s="11">
        <f ca="1">IFERROR(__xludf.DUMMYFUNCTION("""COMPUTED_VALUE"""),3)</f>
        <v>3</v>
      </c>
      <c r="AC54" s="11">
        <f ca="1">IFERROR(__xludf.DUMMYFUNCTION("""COMPUTED_VALUE"""),0)</f>
        <v>0</v>
      </c>
      <c r="AD54" s="11">
        <f ca="1">IFERROR(__xludf.DUMMYFUNCTION("""COMPUTED_VALUE"""),0)</f>
        <v>0</v>
      </c>
      <c r="AE54" s="20">
        <f t="shared" ca="1" si="0"/>
        <v>4</v>
      </c>
      <c r="AF54" s="114"/>
    </row>
    <row r="55" spans="1:32" ht="128.25">
      <c r="A55" s="90" t="s">
        <v>88</v>
      </c>
      <c r="B55" s="74" t="s">
        <v>98</v>
      </c>
      <c r="C55" s="19" t="s">
        <v>265</v>
      </c>
      <c r="D55" s="11" t="s">
        <v>266</v>
      </c>
      <c r="E55" s="11" t="s">
        <v>267</v>
      </c>
      <c r="F55" s="11" t="s">
        <v>268</v>
      </c>
      <c r="G55" s="11" t="s">
        <v>103</v>
      </c>
      <c r="H55" s="11" t="s">
        <v>79</v>
      </c>
      <c r="I55" s="11" t="s">
        <v>269</v>
      </c>
      <c r="J55" s="44" t="s">
        <v>270</v>
      </c>
      <c r="K55" s="45" t="s">
        <v>271</v>
      </c>
      <c r="L55" s="11" t="s">
        <v>107</v>
      </c>
      <c r="M55" s="11" t="s">
        <v>84</v>
      </c>
      <c r="N55" s="46" t="s">
        <v>85</v>
      </c>
      <c r="O55" s="11">
        <v>1100</v>
      </c>
      <c r="P55" s="16"/>
      <c r="Q55" s="11" t="s">
        <v>272</v>
      </c>
      <c r="R55" s="11" t="s">
        <v>273</v>
      </c>
      <c r="S55" s="11">
        <f ca="1">IFERROR(__xludf.DUMMYFUNCTION("ARRAYFORMULA(VALUE(QUERY((importrange(""1VEztdOMa-Y0eWUiFHDIS4eRbaAmfDSqM1-Yeu47QVEY"",""TOTALES!E2:P4"")),""Select*"",1)))"),89)</f>
        <v>89</v>
      </c>
      <c r="T55" s="11">
        <f ca="1">IFERROR(__xludf.DUMMYFUNCTION("""COMPUTED_VALUE"""),101)</f>
        <v>101</v>
      </c>
      <c r="U55" s="11">
        <f ca="1">IFERROR(__xludf.DUMMYFUNCTION("""COMPUTED_VALUE"""),90)</f>
        <v>90</v>
      </c>
      <c r="V55" s="11">
        <f ca="1">IFERROR(__xludf.DUMMYFUNCTION("""COMPUTED_VALUE"""),49)</f>
        <v>49</v>
      </c>
      <c r="W55" s="11">
        <f ca="1">IFERROR(__xludf.DUMMYFUNCTION("""COMPUTED_VALUE"""),113)</f>
        <v>113</v>
      </c>
      <c r="X55" s="11">
        <f ca="1">IFERROR(__xludf.DUMMYFUNCTION("""COMPUTED_VALUE"""),107)</f>
        <v>107</v>
      </c>
      <c r="Y55" s="11">
        <f ca="1">IFERROR(__xludf.DUMMYFUNCTION("""COMPUTED_VALUE"""),107)</f>
        <v>107</v>
      </c>
      <c r="Z55" s="11">
        <f ca="1">IFERROR(__xludf.DUMMYFUNCTION("""COMPUTED_VALUE"""),99)</f>
        <v>99</v>
      </c>
      <c r="AA55" s="11">
        <f ca="1">IFERROR(__xludf.DUMMYFUNCTION("""COMPUTED_VALUE"""),66)</f>
        <v>66</v>
      </c>
      <c r="AB55" s="11">
        <f ca="1">IFERROR(__xludf.DUMMYFUNCTION("""COMPUTED_VALUE"""),135)</f>
        <v>135</v>
      </c>
      <c r="AC55" s="11">
        <f ca="1">IFERROR(__xludf.DUMMYFUNCTION("""COMPUTED_VALUE"""),80)</f>
        <v>80</v>
      </c>
      <c r="AD55" s="11">
        <f ca="1">IFERROR(__xludf.DUMMYFUNCTION("""COMPUTED_VALUE"""),73)</f>
        <v>73</v>
      </c>
      <c r="AE55" s="20">
        <f t="shared" ca="1" si="0"/>
        <v>280</v>
      </c>
      <c r="AF55" s="114"/>
    </row>
    <row r="56" spans="1:32" ht="156.75">
      <c r="A56" s="69" t="s">
        <v>74</v>
      </c>
      <c r="B56" s="75"/>
      <c r="C56" s="21" t="s">
        <v>274</v>
      </c>
      <c r="D56" s="11" t="s">
        <v>275</v>
      </c>
      <c r="E56" s="11" t="s">
        <v>276</v>
      </c>
      <c r="F56" s="11" t="s">
        <v>277</v>
      </c>
      <c r="G56" s="11" t="s">
        <v>103</v>
      </c>
      <c r="H56" s="11" t="s">
        <v>113</v>
      </c>
      <c r="I56" s="11" t="s">
        <v>278</v>
      </c>
      <c r="J56" s="29" t="s">
        <v>279</v>
      </c>
      <c r="K56" s="29" t="s">
        <v>280</v>
      </c>
      <c r="L56" s="11" t="s">
        <v>107</v>
      </c>
      <c r="M56" s="11" t="s">
        <v>84</v>
      </c>
      <c r="N56" s="46" t="s">
        <v>85</v>
      </c>
      <c r="O56" s="11">
        <v>700</v>
      </c>
      <c r="P56" s="16"/>
      <c r="Q56" s="11" t="s">
        <v>281</v>
      </c>
      <c r="R56" s="11" t="s">
        <v>282</v>
      </c>
      <c r="S56" s="11">
        <f ca="1">IFERROR(__xludf.DUMMYFUNCTION("""COMPUTED_VALUE"""),46)</f>
        <v>46</v>
      </c>
      <c r="T56" s="11">
        <f ca="1">IFERROR(__xludf.DUMMYFUNCTION("""COMPUTED_VALUE"""),61)</f>
        <v>61</v>
      </c>
      <c r="U56" s="11">
        <f ca="1">IFERROR(__xludf.DUMMYFUNCTION("""COMPUTED_VALUE"""),71)</f>
        <v>71</v>
      </c>
      <c r="V56" s="11">
        <f ca="1">IFERROR(__xludf.DUMMYFUNCTION("""COMPUTED_VALUE"""),30)</f>
        <v>30</v>
      </c>
      <c r="W56" s="11">
        <f ca="1">IFERROR(__xludf.DUMMYFUNCTION("""COMPUTED_VALUE"""),85)</f>
        <v>85</v>
      </c>
      <c r="X56" s="11">
        <f ca="1">IFERROR(__xludf.DUMMYFUNCTION("""COMPUTED_VALUE"""),68)</f>
        <v>68</v>
      </c>
      <c r="Y56" s="11">
        <f ca="1">IFERROR(__xludf.DUMMYFUNCTION("""COMPUTED_VALUE"""),62)</f>
        <v>62</v>
      </c>
      <c r="Z56" s="11">
        <f ca="1">IFERROR(__xludf.DUMMYFUNCTION("""COMPUTED_VALUE"""),63)</f>
        <v>63</v>
      </c>
      <c r="AA56" s="11">
        <f ca="1">IFERROR(__xludf.DUMMYFUNCTION("""COMPUTED_VALUE"""),54)</f>
        <v>54</v>
      </c>
      <c r="AB56" s="11">
        <f ca="1">IFERROR(__xludf.DUMMYFUNCTION("""COMPUTED_VALUE"""),98)</f>
        <v>98</v>
      </c>
      <c r="AC56" s="11">
        <f ca="1">IFERROR(__xludf.DUMMYFUNCTION("""COMPUTED_VALUE"""),54)</f>
        <v>54</v>
      </c>
      <c r="AD56" s="11">
        <f ca="1">IFERROR(__xludf.DUMMYFUNCTION("""COMPUTED_VALUE"""),57)</f>
        <v>57</v>
      </c>
      <c r="AE56" s="20">
        <f t="shared" ca="1" si="0"/>
        <v>178</v>
      </c>
      <c r="AF56" s="114">
        <f t="shared" ref="AF56:AF60" ca="1" si="5">AE56/O56</f>
        <v>0.25428571428571428</v>
      </c>
    </row>
    <row r="57" spans="1:32" ht="114">
      <c r="A57" s="72" t="s">
        <v>88</v>
      </c>
      <c r="B57" s="75"/>
      <c r="C57" s="21" t="s">
        <v>283</v>
      </c>
      <c r="D57" s="11" t="s">
        <v>284</v>
      </c>
      <c r="E57" s="11" t="s">
        <v>285</v>
      </c>
      <c r="F57" s="11" t="s">
        <v>286</v>
      </c>
      <c r="G57" s="11" t="s">
        <v>103</v>
      </c>
      <c r="H57" s="11" t="s">
        <v>113</v>
      </c>
      <c r="I57" s="11" t="s">
        <v>287</v>
      </c>
      <c r="J57" s="29" t="s">
        <v>288</v>
      </c>
      <c r="K57" s="29" t="s">
        <v>289</v>
      </c>
      <c r="L57" s="11" t="s">
        <v>107</v>
      </c>
      <c r="M57" s="11" t="s">
        <v>84</v>
      </c>
      <c r="N57" s="46" t="s">
        <v>85</v>
      </c>
      <c r="O57" s="11">
        <v>400</v>
      </c>
      <c r="P57" s="106"/>
      <c r="Q57" s="11" t="s">
        <v>290</v>
      </c>
      <c r="R57" s="11" t="s">
        <v>291</v>
      </c>
      <c r="S57" s="11">
        <f ca="1">IFERROR(__xludf.DUMMYFUNCTION("""COMPUTED_VALUE"""),36)</f>
        <v>36</v>
      </c>
      <c r="T57" s="11">
        <f ca="1">IFERROR(__xludf.DUMMYFUNCTION("""COMPUTED_VALUE"""),29)</f>
        <v>29</v>
      </c>
      <c r="U57" s="11">
        <f ca="1">IFERROR(__xludf.DUMMYFUNCTION("""COMPUTED_VALUE"""),31)</f>
        <v>31</v>
      </c>
      <c r="V57" s="11">
        <f ca="1">IFERROR(__xludf.DUMMYFUNCTION("""COMPUTED_VALUE"""),19)</f>
        <v>19</v>
      </c>
      <c r="W57" s="11">
        <f ca="1">IFERROR(__xludf.DUMMYFUNCTION("""COMPUTED_VALUE"""),28)</f>
        <v>28</v>
      </c>
      <c r="X57" s="11">
        <f ca="1">IFERROR(__xludf.DUMMYFUNCTION("""COMPUTED_VALUE"""),39)</f>
        <v>39</v>
      </c>
      <c r="Y57" s="11">
        <f ca="1">IFERROR(__xludf.DUMMYFUNCTION("""COMPUTED_VALUE"""),45)</f>
        <v>45</v>
      </c>
      <c r="Z57" s="11">
        <f ca="1">IFERROR(__xludf.DUMMYFUNCTION("""COMPUTED_VALUE"""),36)</f>
        <v>36</v>
      </c>
      <c r="AA57" s="11">
        <f ca="1">IFERROR(__xludf.DUMMYFUNCTION("""COMPUTED_VALUE"""),12)</f>
        <v>12</v>
      </c>
      <c r="AB57" s="11">
        <f ca="1">IFERROR(__xludf.DUMMYFUNCTION("""COMPUTED_VALUE"""),37)</f>
        <v>37</v>
      </c>
      <c r="AC57" s="11">
        <f ca="1">IFERROR(__xludf.DUMMYFUNCTION("""COMPUTED_VALUE"""),26)</f>
        <v>26</v>
      </c>
      <c r="AD57" s="11">
        <f ca="1">IFERROR(__xludf.DUMMYFUNCTION("""COMPUTED_VALUE"""),16)</f>
        <v>16</v>
      </c>
      <c r="AE57" s="20">
        <f t="shared" ca="1" si="0"/>
        <v>96</v>
      </c>
      <c r="AF57" s="114">
        <f t="shared" ca="1" si="5"/>
        <v>0.24</v>
      </c>
    </row>
    <row r="58" spans="1:32" ht="128.25">
      <c r="B58" s="73" t="s">
        <v>292</v>
      </c>
      <c r="C58" s="19" t="s">
        <v>293</v>
      </c>
      <c r="D58" s="11" t="s">
        <v>294</v>
      </c>
      <c r="E58" s="11" t="s">
        <v>295</v>
      </c>
      <c r="F58" s="11" t="s">
        <v>296</v>
      </c>
      <c r="G58" s="11" t="s">
        <v>103</v>
      </c>
      <c r="H58" s="11" t="s">
        <v>79</v>
      </c>
      <c r="I58" s="11" t="s">
        <v>297</v>
      </c>
      <c r="J58" s="29" t="s">
        <v>298</v>
      </c>
      <c r="K58" s="29" t="s">
        <v>299</v>
      </c>
      <c r="L58" s="11" t="s">
        <v>107</v>
      </c>
      <c r="M58" s="11" t="s">
        <v>84</v>
      </c>
      <c r="N58" s="47">
        <v>12</v>
      </c>
      <c r="O58" s="11">
        <v>12</v>
      </c>
      <c r="P58" s="106"/>
      <c r="Q58" s="11" t="s">
        <v>300</v>
      </c>
      <c r="R58" s="11" t="s">
        <v>301</v>
      </c>
      <c r="S58" s="11">
        <f ca="1">IFERROR(__xludf.DUMMYFUNCTION("ARRAYFORMULA(VALUE(QUERY((importrange(""1KdaFVqJFJ9ZqFh7rOAds5taz4NRv7kh6I4IScrpooUQ"",""TOTALES!E2:P4"")),""Select*"",1)))"),1)</f>
        <v>1</v>
      </c>
      <c r="T58" s="11">
        <f ca="1">IFERROR(__xludf.DUMMYFUNCTION("""COMPUTED_VALUE"""),1)</f>
        <v>1</v>
      </c>
      <c r="U58" s="11">
        <f ca="1">IFERROR(__xludf.DUMMYFUNCTION("""COMPUTED_VALUE"""),1)</f>
        <v>1</v>
      </c>
      <c r="V58" s="11">
        <f ca="1">IFERROR(__xludf.DUMMYFUNCTION("""COMPUTED_VALUE"""),0)</f>
        <v>0</v>
      </c>
      <c r="W58" s="11">
        <f ca="1">IFERROR(__xludf.DUMMYFUNCTION("""COMPUTED_VALUE"""),1)</f>
        <v>1</v>
      </c>
      <c r="X58" s="11">
        <f ca="1">IFERROR(__xludf.DUMMYFUNCTION("""COMPUTED_VALUE"""),1)</f>
        <v>1</v>
      </c>
      <c r="Y58" s="11">
        <f ca="1">IFERROR(__xludf.DUMMYFUNCTION("""COMPUTED_VALUE"""),1)</f>
        <v>1</v>
      </c>
      <c r="Z58" s="11">
        <f ca="1">IFERROR(__xludf.DUMMYFUNCTION("""COMPUTED_VALUE"""),1)</f>
        <v>1</v>
      </c>
      <c r="AA58" s="11">
        <f ca="1">IFERROR(__xludf.DUMMYFUNCTION("""COMPUTED_VALUE"""),1)</f>
        <v>1</v>
      </c>
      <c r="AB58" s="11">
        <f ca="1">IFERROR(__xludf.DUMMYFUNCTION("""COMPUTED_VALUE"""),1)</f>
        <v>1</v>
      </c>
      <c r="AC58" s="11">
        <f ca="1">IFERROR(__xludf.DUMMYFUNCTION("""COMPUTED_VALUE"""),1)</f>
        <v>1</v>
      </c>
      <c r="AD58" s="11">
        <f ca="1">IFERROR(__xludf.DUMMYFUNCTION("""COMPUTED_VALUE"""),1)</f>
        <v>1</v>
      </c>
      <c r="AE58" s="20">
        <f t="shared" ca="1" si="0"/>
        <v>3</v>
      </c>
      <c r="AF58" s="114">
        <f t="shared" ca="1" si="5"/>
        <v>0.25</v>
      </c>
    </row>
    <row r="59" spans="1:32" ht="128.25">
      <c r="A59" s="70" t="s">
        <v>74</v>
      </c>
      <c r="B59" s="70"/>
      <c r="C59" s="21" t="s">
        <v>302</v>
      </c>
      <c r="D59" s="11" t="s">
        <v>303</v>
      </c>
      <c r="E59" s="11" t="s">
        <v>304</v>
      </c>
      <c r="F59" s="12" t="s">
        <v>305</v>
      </c>
      <c r="G59" s="11" t="s">
        <v>103</v>
      </c>
      <c r="H59" s="11" t="s">
        <v>113</v>
      </c>
      <c r="I59" s="11" t="s">
        <v>361</v>
      </c>
      <c r="J59" s="29" t="s">
        <v>307</v>
      </c>
      <c r="K59" s="29" t="s">
        <v>381</v>
      </c>
      <c r="L59" s="11" t="s">
        <v>107</v>
      </c>
      <c r="M59" s="11" t="s">
        <v>183</v>
      </c>
      <c r="N59" s="46" t="s">
        <v>85</v>
      </c>
      <c r="O59" s="11">
        <v>110</v>
      </c>
      <c r="P59" s="16"/>
      <c r="Q59" s="11" t="s">
        <v>308</v>
      </c>
      <c r="R59" s="11" t="s">
        <v>309</v>
      </c>
      <c r="S59" s="11">
        <f ca="1">IFERROR(__xludf.DUMMYFUNCTION("""COMPUTED_VALUE"""),82)</f>
        <v>82</v>
      </c>
      <c r="T59" s="11">
        <f ca="1">IFERROR(__xludf.DUMMYFUNCTION("""COMPUTED_VALUE"""),84)</f>
        <v>84</v>
      </c>
      <c r="U59" s="11">
        <f ca="1">IFERROR(__xludf.DUMMYFUNCTION("""COMPUTED_VALUE"""),77)</f>
        <v>77</v>
      </c>
      <c r="V59" s="11">
        <f ca="1">IFERROR(__xludf.DUMMYFUNCTION("""COMPUTED_VALUE"""),109)</f>
        <v>109</v>
      </c>
      <c r="W59" s="11">
        <f ca="1">IFERROR(__xludf.DUMMYFUNCTION("""COMPUTED_VALUE"""),112)</f>
        <v>112</v>
      </c>
      <c r="X59" s="11">
        <f ca="1">IFERROR(__xludf.DUMMYFUNCTION("""COMPUTED_VALUE"""),114)</f>
        <v>114</v>
      </c>
      <c r="Y59" s="11">
        <f ca="1">IFERROR(__xludf.DUMMYFUNCTION("""COMPUTED_VALUE"""),108)</f>
        <v>108</v>
      </c>
      <c r="Z59" s="11">
        <f ca="1">IFERROR(__xludf.DUMMYFUNCTION("""COMPUTED_VALUE"""),106)</f>
        <v>106</v>
      </c>
      <c r="AA59" s="11">
        <f ca="1">IFERROR(__xludf.DUMMYFUNCTION("""COMPUTED_VALUE"""),206)</f>
        <v>206</v>
      </c>
      <c r="AB59" s="11">
        <f ca="1">IFERROR(__xludf.DUMMYFUNCTION("""COMPUTED_VALUE"""),109)</f>
        <v>109</v>
      </c>
      <c r="AC59" s="11">
        <f ca="1">IFERROR(__xludf.DUMMYFUNCTION("""COMPUTED_VALUE"""),108)</f>
        <v>108</v>
      </c>
      <c r="AD59" s="11">
        <f ca="1">IFERROR(__xludf.DUMMYFUNCTION("""COMPUTED_VALUE"""),105)</f>
        <v>105</v>
      </c>
      <c r="AE59" s="20">
        <f t="shared" ca="1" si="0"/>
        <v>243</v>
      </c>
      <c r="AF59" s="114">
        <f t="shared" ca="1" si="5"/>
        <v>2.209090909090909</v>
      </c>
    </row>
    <row r="60" spans="1:32" ht="157.5">
      <c r="A60" s="70" t="s">
        <v>88</v>
      </c>
      <c r="B60" s="70"/>
      <c r="C60" s="21" t="s">
        <v>310</v>
      </c>
      <c r="D60" s="76" t="s">
        <v>311</v>
      </c>
      <c r="E60" s="77" t="s">
        <v>312</v>
      </c>
      <c r="F60" s="138" t="s">
        <v>382</v>
      </c>
      <c r="G60" s="77" t="s">
        <v>103</v>
      </c>
      <c r="H60" s="77" t="s">
        <v>113</v>
      </c>
      <c r="I60" s="77" t="s">
        <v>383</v>
      </c>
      <c r="J60" s="79" t="s">
        <v>315</v>
      </c>
      <c r="K60" s="79" t="s">
        <v>384</v>
      </c>
      <c r="L60" s="77" t="s">
        <v>107</v>
      </c>
      <c r="M60" s="77" t="s">
        <v>183</v>
      </c>
      <c r="N60" s="81" t="s">
        <v>85</v>
      </c>
      <c r="O60" s="77">
        <v>150</v>
      </c>
      <c r="P60" s="107"/>
      <c r="Q60" s="77" t="s">
        <v>317</v>
      </c>
      <c r="R60" s="77" t="s">
        <v>309</v>
      </c>
      <c r="S60" s="11">
        <f ca="1">IFERROR(__xludf.DUMMYFUNCTION("""COMPUTED_VALUE"""),155)</f>
        <v>155</v>
      </c>
      <c r="T60" s="11">
        <f ca="1">IFERROR(__xludf.DUMMYFUNCTION("""COMPUTED_VALUE"""),164)</f>
        <v>164</v>
      </c>
      <c r="U60" s="11">
        <f ca="1">IFERROR(__xludf.DUMMYFUNCTION("""COMPUTED_VALUE"""),207)</f>
        <v>207</v>
      </c>
      <c r="V60" s="11">
        <f ca="1">IFERROR(__xludf.DUMMYFUNCTION("""COMPUTED_VALUE"""),0)</f>
        <v>0</v>
      </c>
      <c r="W60" s="11">
        <f ca="1">IFERROR(__xludf.DUMMYFUNCTION("""COMPUTED_VALUE"""),191)</f>
        <v>191</v>
      </c>
      <c r="X60" s="11">
        <f ca="1">IFERROR(__xludf.DUMMYFUNCTION("""COMPUTED_VALUE"""),118)</f>
        <v>118</v>
      </c>
      <c r="Y60" s="11">
        <f ca="1">IFERROR(__xludf.DUMMYFUNCTION("""COMPUTED_VALUE"""),140)</f>
        <v>140</v>
      </c>
      <c r="Z60" s="11">
        <f ca="1">IFERROR(__xludf.DUMMYFUNCTION("""COMPUTED_VALUE"""),83)</f>
        <v>83</v>
      </c>
      <c r="AA60" s="11">
        <f ca="1">IFERROR(__xludf.DUMMYFUNCTION("""COMPUTED_VALUE"""),198)</f>
        <v>198</v>
      </c>
      <c r="AB60" s="11">
        <f ca="1">IFERROR(__xludf.DUMMYFUNCTION("""COMPUTED_VALUE"""),180)</f>
        <v>180</v>
      </c>
      <c r="AC60" s="11">
        <f ca="1">IFERROR(__xludf.DUMMYFUNCTION("""COMPUTED_VALUE"""),188)</f>
        <v>188</v>
      </c>
      <c r="AD60" s="11">
        <f ca="1">IFERROR(__xludf.DUMMYFUNCTION("""COMPUTED_VALUE"""),246)</f>
        <v>246</v>
      </c>
      <c r="AE60" s="20">
        <f t="shared" ca="1" si="0"/>
        <v>526</v>
      </c>
      <c r="AF60" s="114">
        <f t="shared" ca="1" si="5"/>
        <v>3.5066666666666668</v>
      </c>
    </row>
    <row r="61" spans="1:32" ht="15.75">
      <c r="A61" s="83"/>
      <c r="B61" s="84"/>
      <c r="S61" s="89"/>
      <c r="AF61" s="99"/>
    </row>
    <row r="62" spans="1:32" ht="15.75">
      <c r="D62" s="85"/>
      <c r="E62" s="85"/>
      <c r="F62" s="85"/>
      <c r="G62" s="85"/>
      <c r="H62" s="85"/>
      <c r="AF62" s="99"/>
    </row>
    <row r="63" spans="1:32" ht="15.75">
      <c r="D63" s="85"/>
      <c r="E63" s="85"/>
      <c r="F63" s="85"/>
      <c r="G63" s="85"/>
      <c r="H63" s="85"/>
      <c r="AF63" s="99"/>
    </row>
    <row r="64" spans="1:32" ht="15.75">
      <c r="D64" s="85"/>
      <c r="E64" s="85"/>
      <c r="F64" s="85"/>
      <c r="G64" s="85"/>
      <c r="H64" s="85"/>
      <c r="AF64" s="99"/>
    </row>
    <row r="65" spans="4:32" ht="15.75">
      <c r="D65" s="85"/>
      <c r="E65" s="85"/>
      <c r="F65" s="85"/>
      <c r="G65" s="85"/>
      <c r="H65" s="85"/>
      <c r="AF65" s="99"/>
    </row>
    <row r="66" spans="4:32" ht="15.75">
      <c r="D66" s="85"/>
      <c r="E66" s="85"/>
      <c r="F66" s="85"/>
      <c r="G66" s="85"/>
      <c r="H66" s="85"/>
      <c r="AF66" s="99"/>
    </row>
    <row r="67" spans="4:32" ht="15.75">
      <c r="D67" s="85"/>
      <c r="E67" s="85"/>
      <c r="F67" s="85"/>
      <c r="G67" s="85"/>
      <c r="H67" s="85"/>
      <c r="AF67" s="99"/>
    </row>
    <row r="68" spans="4:32" ht="15.75">
      <c r="D68" s="85"/>
      <c r="E68" s="85"/>
      <c r="F68" s="85"/>
      <c r="G68" s="85"/>
      <c r="H68" s="85"/>
      <c r="AF68" s="99"/>
    </row>
    <row r="69" spans="4:32" ht="15.75">
      <c r="D69" s="85"/>
      <c r="E69" s="85"/>
      <c r="F69" s="85"/>
      <c r="G69" s="85"/>
      <c r="H69" s="85"/>
      <c r="AF69" s="99"/>
    </row>
    <row r="70" spans="4:32" ht="15.75">
      <c r="D70" s="85"/>
      <c r="E70" s="85"/>
      <c r="F70" s="85"/>
      <c r="G70" s="85"/>
      <c r="H70" s="85"/>
      <c r="AF70" s="99"/>
    </row>
    <row r="71" spans="4:32" ht="15.75">
      <c r="D71" s="85"/>
      <c r="E71" s="85"/>
      <c r="F71" s="85"/>
      <c r="G71" s="85"/>
      <c r="H71" s="85"/>
      <c r="AF71" s="99"/>
    </row>
    <row r="72" spans="4:32" ht="15.75">
      <c r="D72" s="85"/>
      <c r="E72" s="85"/>
      <c r="F72" s="85"/>
      <c r="G72" s="85"/>
      <c r="H72" s="85"/>
      <c r="AF72" s="99"/>
    </row>
    <row r="73" spans="4:32" ht="15.75">
      <c r="D73" s="85"/>
      <c r="E73" s="85"/>
      <c r="F73" s="85"/>
      <c r="G73" s="85"/>
      <c r="H73" s="85"/>
      <c r="AF73" s="99"/>
    </row>
    <row r="74" spans="4:32" ht="15.75">
      <c r="D74" s="85"/>
      <c r="E74" s="85"/>
      <c r="F74" s="85"/>
      <c r="G74" s="85"/>
      <c r="H74" s="85"/>
      <c r="AF74" s="99"/>
    </row>
    <row r="75" spans="4:32" ht="15.75">
      <c r="D75" s="85"/>
      <c r="E75" s="85"/>
      <c r="F75" s="85"/>
      <c r="G75" s="85"/>
      <c r="H75" s="85"/>
      <c r="AF75" s="99"/>
    </row>
    <row r="76" spans="4:32" ht="15.75">
      <c r="D76" s="85"/>
      <c r="E76" s="85"/>
      <c r="F76" s="85"/>
      <c r="G76" s="85"/>
      <c r="H76" s="85"/>
      <c r="AF76" s="99"/>
    </row>
    <row r="77" spans="4:32" ht="15.75">
      <c r="D77" s="85"/>
      <c r="E77" s="85"/>
      <c r="F77" s="85"/>
      <c r="G77" s="85"/>
      <c r="H77" s="85"/>
      <c r="AF77" s="99"/>
    </row>
    <row r="78" spans="4:32" ht="15.75">
      <c r="D78" s="85"/>
      <c r="E78" s="85"/>
      <c r="F78" s="85"/>
      <c r="G78" s="85"/>
      <c r="H78" s="85"/>
      <c r="AF78" s="99"/>
    </row>
    <row r="79" spans="4:32" ht="15.75">
      <c r="D79" s="85"/>
      <c r="E79" s="85"/>
      <c r="F79" s="85"/>
      <c r="G79" s="85"/>
      <c r="H79" s="85"/>
      <c r="AF79" s="99"/>
    </row>
    <row r="80" spans="4:32" ht="15.75">
      <c r="D80" s="85"/>
      <c r="E80" s="85"/>
      <c r="F80" s="85"/>
      <c r="G80" s="85"/>
      <c r="H80" s="85"/>
      <c r="AF80" s="99"/>
    </row>
    <row r="81" spans="4:32" ht="15.75">
      <c r="D81" s="85"/>
      <c r="E81" s="85"/>
      <c r="F81" s="85"/>
      <c r="G81" s="85"/>
      <c r="H81" s="85"/>
      <c r="AF81" s="99"/>
    </row>
    <row r="82" spans="4:32" ht="15.75">
      <c r="D82" s="85"/>
      <c r="E82" s="85"/>
      <c r="F82" s="85"/>
      <c r="G82" s="85"/>
      <c r="H82" s="85"/>
      <c r="AF82" s="99"/>
    </row>
    <row r="83" spans="4:32" ht="15.75">
      <c r="D83" s="85"/>
      <c r="E83" s="85"/>
      <c r="F83" s="85"/>
      <c r="G83" s="85"/>
      <c r="H83" s="85"/>
      <c r="AF83" s="99"/>
    </row>
    <row r="84" spans="4:32" ht="15.75">
      <c r="D84" s="85"/>
      <c r="E84" s="85"/>
      <c r="F84" s="85"/>
      <c r="G84" s="85"/>
      <c r="H84" s="85"/>
      <c r="AF84" s="99"/>
    </row>
    <row r="85" spans="4:32" ht="15.75">
      <c r="D85" s="85"/>
      <c r="E85" s="85"/>
      <c r="F85" s="85"/>
      <c r="G85" s="85"/>
      <c r="H85" s="85"/>
      <c r="AF85" s="99"/>
    </row>
    <row r="86" spans="4:32" ht="15.75">
      <c r="D86" s="85"/>
      <c r="E86" s="85"/>
      <c r="F86" s="85"/>
      <c r="G86" s="85"/>
      <c r="H86" s="85"/>
      <c r="AF86" s="99"/>
    </row>
    <row r="87" spans="4:32" ht="15.75">
      <c r="D87" s="85"/>
      <c r="E87" s="85"/>
      <c r="F87" s="85"/>
      <c r="G87" s="85"/>
      <c r="H87" s="85"/>
      <c r="AF87" s="99"/>
    </row>
    <row r="88" spans="4:32" ht="15.75">
      <c r="D88" s="85"/>
      <c r="E88" s="85"/>
      <c r="F88" s="85"/>
      <c r="G88" s="85"/>
      <c r="H88" s="85"/>
      <c r="AF88" s="99"/>
    </row>
    <row r="89" spans="4:32" ht="15.75">
      <c r="D89" s="85"/>
      <c r="E89" s="85"/>
      <c r="F89" s="85"/>
      <c r="G89" s="85"/>
      <c r="H89" s="85"/>
      <c r="AF89" s="99"/>
    </row>
    <row r="90" spans="4:32" ht="15.75">
      <c r="D90" s="85"/>
      <c r="E90" s="85"/>
      <c r="F90" s="85"/>
      <c r="G90" s="85"/>
      <c r="H90" s="85"/>
      <c r="AF90" s="99"/>
    </row>
    <row r="91" spans="4:32" ht="15.75">
      <c r="D91" s="85"/>
      <c r="E91" s="85"/>
      <c r="F91" s="85"/>
      <c r="G91" s="85"/>
      <c r="H91" s="85"/>
      <c r="AF91" s="99"/>
    </row>
    <row r="92" spans="4:32" ht="15.75">
      <c r="D92" s="85"/>
      <c r="E92" s="85"/>
      <c r="F92" s="85"/>
      <c r="G92" s="85"/>
      <c r="H92" s="85"/>
      <c r="AF92" s="99"/>
    </row>
    <row r="93" spans="4:32" ht="15.75">
      <c r="D93" s="85"/>
      <c r="E93" s="85"/>
      <c r="F93" s="85"/>
      <c r="G93" s="85"/>
      <c r="H93" s="85"/>
      <c r="AF93" s="99"/>
    </row>
    <row r="94" spans="4:32" ht="15.75">
      <c r="D94" s="85"/>
      <c r="E94" s="85"/>
      <c r="F94" s="85"/>
      <c r="G94" s="85"/>
      <c r="H94" s="85"/>
      <c r="AF94" s="99"/>
    </row>
    <row r="95" spans="4:32" ht="15.75">
      <c r="D95" s="85"/>
      <c r="E95" s="85"/>
      <c r="F95" s="85"/>
      <c r="G95" s="85"/>
      <c r="H95" s="85"/>
      <c r="AF95" s="99"/>
    </row>
    <row r="96" spans="4:32" ht="15.75">
      <c r="D96" s="85"/>
      <c r="E96" s="85"/>
      <c r="F96" s="85"/>
      <c r="G96" s="85"/>
      <c r="H96" s="85"/>
      <c r="AF96" s="99"/>
    </row>
    <row r="97" spans="4:32" ht="15.75">
      <c r="D97" s="85"/>
      <c r="E97" s="85"/>
      <c r="F97" s="85"/>
      <c r="G97" s="85"/>
      <c r="H97" s="85"/>
      <c r="AF97" s="99"/>
    </row>
    <row r="98" spans="4:32" ht="15.75">
      <c r="D98" s="85"/>
      <c r="E98" s="85"/>
      <c r="F98" s="85"/>
      <c r="G98" s="85"/>
      <c r="H98" s="85"/>
      <c r="AF98" s="99"/>
    </row>
    <row r="99" spans="4:32" ht="15.75">
      <c r="D99" s="85"/>
      <c r="E99" s="85"/>
      <c r="F99" s="85"/>
      <c r="G99" s="85"/>
      <c r="H99" s="85"/>
      <c r="AF99" s="99"/>
    </row>
    <row r="100" spans="4:32" ht="15.75">
      <c r="D100" s="85"/>
      <c r="E100" s="85"/>
      <c r="F100" s="85"/>
      <c r="G100" s="85"/>
      <c r="H100" s="85"/>
      <c r="AF100" s="99"/>
    </row>
    <row r="101" spans="4:32" ht="15.75">
      <c r="D101" s="85"/>
      <c r="E101" s="85"/>
      <c r="F101" s="85"/>
      <c r="G101" s="85"/>
      <c r="H101" s="85"/>
      <c r="AF101" s="99"/>
    </row>
    <row r="102" spans="4:32" ht="15.75">
      <c r="D102" s="85"/>
      <c r="E102" s="85"/>
      <c r="F102" s="85"/>
      <c r="G102" s="85"/>
      <c r="H102" s="85"/>
      <c r="AF102" s="99"/>
    </row>
    <row r="103" spans="4:32" ht="15.75">
      <c r="D103" s="85"/>
      <c r="E103" s="85"/>
      <c r="F103" s="85"/>
      <c r="G103" s="85"/>
      <c r="H103" s="85"/>
      <c r="AF103" s="99"/>
    </row>
    <row r="104" spans="4:32" ht="15.75">
      <c r="D104" s="85"/>
      <c r="E104" s="85"/>
      <c r="F104" s="85"/>
      <c r="G104" s="85"/>
      <c r="H104" s="85"/>
      <c r="AF104" s="99"/>
    </row>
    <row r="105" spans="4:32" ht="15.75">
      <c r="D105" s="85"/>
      <c r="E105" s="85"/>
      <c r="F105" s="85"/>
      <c r="G105" s="85"/>
      <c r="H105" s="85"/>
      <c r="AF105" s="99"/>
    </row>
    <row r="106" spans="4:32" ht="15.75">
      <c r="D106" s="85"/>
      <c r="E106" s="85"/>
      <c r="F106" s="85"/>
      <c r="G106" s="85"/>
      <c r="H106" s="85"/>
      <c r="AF106" s="99"/>
    </row>
    <row r="107" spans="4:32" ht="15.75">
      <c r="D107" s="85"/>
      <c r="E107" s="85"/>
      <c r="F107" s="85"/>
      <c r="G107" s="85"/>
      <c r="H107" s="85"/>
      <c r="AF107" s="99"/>
    </row>
    <row r="108" spans="4:32" ht="15.75">
      <c r="D108" s="85"/>
      <c r="E108" s="85"/>
      <c r="F108" s="85"/>
      <c r="G108" s="85"/>
      <c r="H108" s="85"/>
      <c r="AF108" s="99"/>
    </row>
    <row r="109" spans="4:32" ht="15.75">
      <c r="D109" s="85"/>
      <c r="E109" s="85"/>
      <c r="F109" s="85"/>
      <c r="G109" s="85"/>
      <c r="H109" s="85"/>
      <c r="AF109" s="99"/>
    </row>
    <row r="110" spans="4:32" ht="15.75">
      <c r="D110" s="85"/>
      <c r="E110" s="85"/>
      <c r="F110" s="85"/>
      <c r="G110" s="85"/>
      <c r="H110" s="85"/>
      <c r="AF110" s="99"/>
    </row>
    <row r="111" spans="4:32" ht="15.75">
      <c r="D111" s="85"/>
      <c r="E111" s="85"/>
      <c r="F111" s="85"/>
      <c r="G111" s="85"/>
      <c r="H111" s="85"/>
      <c r="AF111" s="99"/>
    </row>
    <row r="112" spans="4:32" ht="15.75">
      <c r="D112" s="85"/>
      <c r="E112" s="85"/>
      <c r="F112" s="85"/>
      <c r="G112" s="85"/>
      <c r="H112" s="85"/>
      <c r="AF112" s="99"/>
    </row>
    <row r="113" spans="3:32" ht="15.75">
      <c r="D113" s="85"/>
      <c r="E113" s="85"/>
      <c r="F113" s="85"/>
      <c r="G113" s="85"/>
      <c r="H113" s="85"/>
      <c r="AF113" s="99"/>
    </row>
    <row r="114" spans="3:32" ht="15.75">
      <c r="D114" s="85"/>
      <c r="E114" s="85"/>
      <c r="F114" s="85"/>
      <c r="G114" s="85"/>
      <c r="H114" s="85"/>
      <c r="AF114" s="99"/>
    </row>
    <row r="115" spans="3:32" ht="15.75">
      <c r="D115" s="85"/>
      <c r="E115" s="85"/>
      <c r="F115" s="85"/>
      <c r="G115" s="85"/>
      <c r="H115" s="85"/>
      <c r="AF115" s="99"/>
    </row>
    <row r="116" spans="3:32" ht="15.75">
      <c r="D116" s="85"/>
      <c r="E116" s="85"/>
      <c r="F116" s="85"/>
      <c r="G116" s="85"/>
      <c r="H116" s="85"/>
      <c r="AF116" s="99"/>
    </row>
    <row r="117" spans="3:32" ht="15.75">
      <c r="D117" s="85"/>
      <c r="E117" s="85"/>
      <c r="F117" s="85"/>
      <c r="G117" s="85"/>
      <c r="H117" s="85"/>
      <c r="AF117" s="99"/>
    </row>
    <row r="118" spans="3:32" ht="15.75">
      <c r="D118" s="85"/>
      <c r="E118" s="85"/>
      <c r="F118" s="85"/>
      <c r="G118" s="85"/>
      <c r="H118" s="85"/>
      <c r="AF118" s="99"/>
    </row>
    <row r="119" spans="3:32" ht="15.75">
      <c r="D119" s="85"/>
      <c r="E119" s="85"/>
      <c r="F119" s="85"/>
      <c r="G119" s="85"/>
      <c r="H119" s="85"/>
      <c r="AF119" s="99"/>
    </row>
    <row r="120" spans="3:32" ht="15.75">
      <c r="D120" s="85"/>
      <c r="E120" s="85"/>
      <c r="F120" s="85"/>
      <c r="G120" s="85"/>
      <c r="H120" s="85"/>
      <c r="AF120" s="99"/>
    </row>
    <row r="121" spans="3:32" ht="15.75">
      <c r="D121" s="85"/>
      <c r="E121" s="85"/>
      <c r="F121" s="85"/>
      <c r="G121" s="85"/>
      <c r="H121" s="85"/>
      <c r="AF121" s="99"/>
    </row>
    <row r="122" spans="3:32" ht="15.75">
      <c r="D122" s="85"/>
      <c r="E122" s="85"/>
      <c r="F122" s="85"/>
      <c r="G122" s="85"/>
      <c r="H122" s="85"/>
      <c r="AF122" s="99"/>
    </row>
    <row r="123" spans="3:32" ht="15.75">
      <c r="D123" s="85"/>
      <c r="E123" s="85"/>
      <c r="F123" s="85"/>
      <c r="G123" s="85"/>
      <c r="H123" s="85"/>
      <c r="AF123" s="99"/>
    </row>
    <row r="124" spans="3:32" ht="15.75">
      <c r="D124" s="85"/>
      <c r="E124" s="85"/>
      <c r="F124" s="85"/>
      <c r="G124" s="85"/>
      <c r="H124" s="85"/>
      <c r="AF124" s="99"/>
    </row>
    <row r="125" spans="3:32" ht="15.75">
      <c r="D125" s="85"/>
      <c r="E125" s="85"/>
      <c r="F125" s="85"/>
      <c r="G125" s="85"/>
      <c r="H125" s="85"/>
      <c r="AF125" s="99"/>
    </row>
    <row r="126" spans="3:32" ht="15.75">
      <c r="D126" s="85"/>
      <c r="E126" s="85"/>
      <c r="F126" s="85"/>
      <c r="G126" s="85"/>
      <c r="H126" s="85"/>
      <c r="AF126" s="99"/>
    </row>
    <row r="127" spans="3:32" ht="15.75">
      <c r="C127" s="48" t="s">
        <v>318</v>
      </c>
      <c r="D127" s="173"/>
      <c r="E127" s="174"/>
      <c r="F127" s="174"/>
      <c r="G127" s="175"/>
      <c r="H127" s="57" t="s">
        <v>7</v>
      </c>
      <c r="I127" s="168" t="s">
        <v>319</v>
      </c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8"/>
      <c r="AF127" s="99"/>
    </row>
    <row r="128" spans="3:32" ht="15.75">
      <c r="C128" s="2" t="s">
        <v>320</v>
      </c>
      <c r="D128" s="169"/>
      <c r="E128" s="157"/>
      <c r="F128" s="157"/>
      <c r="G128" s="158"/>
      <c r="H128" s="57" t="s">
        <v>7</v>
      </c>
      <c r="I128" s="86" t="s">
        <v>321</v>
      </c>
      <c r="J128" s="87" t="s">
        <v>322</v>
      </c>
      <c r="K128" s="87" t="s">
        <v>323</v>
      </c>
      <c r="L128" s="87" t="s">
        <v>324</v>
      </c>
      <c r="M128" s="87" t="s">
        <v>325</v>
      </c>
      <c r="N128" s="87" t="s">
        <v>326</v>
      </c>
      <c r="O128" s="87" t="s">
        <v>327</v>
      </c>
      <c r="P128" s="87" t="s">
        <v>328</v>
      </c>
      <c r="Q128" s="87" t="s">
        <v>329</v>
      </c>
      <c r="R128" s="87" t="s">
        <v>330</v>
      </c>
      <c r="S128" s="87" t="s">
        <v>331</v>
      </c>
      <c r="T128" s="87" t="s">
        <v>332</v>
      </c>
      <c r="AF128" s="99"/>
    </row>
    <row r="129" spans="3:32" ht="15.75">
      <c r="C129" s="2" t="s">
        <v>333</v>
      </c>
      <c r="D129" s="169"/>
      <c r="E129" s="157"/>
      <c r="F129" s="157"/>
      <c r="G129" s="158"/>
      <c r="H129" s="57" t="s">
        <v>7</v>
      </c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AF129" s="99"/>
    </row>
    <row r="130" spans="3:32" ht="15.75">
      <c r="C130" s="21" t="s">
        <v>334</v>
      </c>
      <c r="D130" s="170"/>
      <c r="E130" s="157"/>
      <c r="F130" s="157"/>
      <c r="G130" s="158"/>
      <c r="H130" s="85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AF130" s="99"/>
    </row>
    <row r="131" spans="3:32" ht="15.75">
      <c r="C131" s="2" t="s">
        <v>335</v>
      </c>
      <c r="D131" s="171"/>
      <c r="E131" s="157"/>
      <c r="F131" s="157"/>
      <c r="G131" s="158"/>
      <c r="H131" s="57" t="s">
        <v>7</v>
      </c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AF131" s="99"/>
    </row>
    <row r="132" spans="3:32" ht="31.5">
      <c r="C132" s="2" t="s">
        <v>336</v>
      </c>
      <c r="D132" s="169"/>
      <c r="E132" s="157"/>
      <c r="F132" s="157"/>
      <c r="G132" s="158"/>
      <c r="H132" s="85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AF132" s="99"/>
    </row>
    <row r="133" spans="3:32" ht="31.5">
      <c r="C133" s="2" t="s">
        <v>337</v>
      </c>
      <c r="D133" s="172"/>
      <c r="E133" s="157"/>
      <c r="F133" s="157"/>
      <c r="G133" s="158"/>
      <c r="H133" s="85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AF133" s="99"/>
    </row>
    <row r="134" spans="3:32" ht="15.75">
      <c r="D134" s="85"/>
      <c r="E134" s="85"/>
      <c r="F134" s="85"/>
      <c r="G134" s="85"/>
      <c r="H134" s="85"/>
      <c r="AF134" s="99"/>
    </row>
    <row r="135" spans="3:32" ht="15.75">
      <c r="D135" s="85"/>
      <c r="E135" s="85"/>
      <c r="F135" s="85"/>
      <c r="G135" s="85"/>
      <c r="H135" s="85"/>
      <c r="AF135" s="99"/>
    </row>
    <row r="136" spans="3:32" ht="15.75">
      <c r="D136" s="85"/>
      <c r="E136" s="85"/>
      <c r="F136" s="85"/>
      <c r="G136" s="85"/>
      <c r="H136" s="85"/>
      <c r="AF136" s="99"/>
    </row>
    <row r="137" spans="3:32" ht="15.75">
      <c r="D137" s="85"/>
      <c r="E137" s="85"/>
      <c r="F137" s="85"/>
      <c r="G137" s="85"/>
      <c r="H137" s="85"/>
      <c r="AF137" s="99"/>
    </row>
    <row r="138" spans="3:32" ht="15.75">
      <c r="D138" s="85"/>
      <c r="E138" s="85"/>
      <c r="F138" s="85"/>
      <c r="G138" s="85"/>
      <c r="H138" s="85"/>
      <c r="AF138" s="99"/>
    </row>
    <row r="139" spans="3:32" ht="15.75">
      <c r="D139" s="85"/>
      <c r="E139" s="85"/>
      <c r="F139" s="85"/>
      <c r="G139" s="85"/>
      <c r="H139" s="85"/>
      <c r="AF139" s="99"/>
    </row>
    <row r="140" spans="3:32" ht="15.75">
      <c r="D140" s="85"/>
      <c r="E140" s="85"/>
      <c r="F140" s="85"/>
      <c r="G140" s="85"/>
      <c r="H140" s="85"/>
      <c r="AF140" s="99"/>
    </row>
    <row r="141" spans="3:32" ht="15.75">
      <c r="D141" s="85"/>
      <c r="E141" s="85"/>
      <c r="F141" s="85"/>
      <c r="G141" s="85"/>
      <c r="H141" s="85"/>
      <c r="AF141" s="99"/>
    </row>
    <row r="142" spans="3:32" ht="15.75">
      <c r="D142" s="85"/>
      <c r="E142" s="85"/>
      <c r="F142" s="85"/>
      <c r="G142" s="85"/>
      <c r="H142" s="85"/>
      <c r="AF142" s="99"/>
    </row>
    <row r="143" spans="3:32" ht="15.75">
      <c r="D143" s="85"/>
      <c r="E143" s="85"/>
      <c r="F143" s="85"/>
      <c r="G143" s="85"/>
      <c r="H143" s="85"/>
      <c r="AF143" s="99"/>
    </row>
    <row r="144" spans="3:32" ht="15.75">
      <c r="D144" s="85"/>
      <c r="E144" s="85"/>
      <c r="F144" s="85"/>
      <c r="G144" s="85"/>
      <c r="H144" s="85"/>
      <c r="AF144" s="99"/>
    </row>
    <row r="145" spans="4:32" ht="15.75">
      <c r="D145" s="85"/>
      <c r="E145" s="85"/>
      <c r="F145" s="85"/>
      <c r="G145" s="85"/>
      <c r="H145" s="85"/>
      <c r="AF145" s="99"/>
    </row>
    <row r="146" spans="4:32" ht="15.75">
      <c r="D146" s="85"/>
      <c r="E146" s="85"/>
      <c r="F146" s="85"/>
      <c r="G146" s="85"/>
      <c r="H146" s="85"/>
      <c r="AF146" s="99"/>
    </row>
    <row r="147" spans="4:32" ht="15.75">
      <c r="D147" s="85"/>
      <c r="E147" s="85"/>
      <c r="F147" s="85"/>
      <c r="G147" s="85"/>
      <c r="H147" s="85"/>
      <c r="AF147" s="99"/>
    </row>
    <row r="148" spans="4:32" ht="15.75">
      <c r="D148" s="85"/>
      <c r="E148" s="85"/>
      <c r="F148" s="85"/>
      <c r="G148" s="85"/>
      <c r="H148" s="85"/>
      <c r="AF148" s="99"/>
    </row>
    <row r="149" spans="4:32" ht="15.75">
      <c r="D149" s="85"/>
      <c r="E149" s="85"/>
      <c r="F149" s="85"/>
      <c r="G149" s="85"/>
      <c r="H149" s="85"/>
      <c r="AF149" s="99"/>
    </row>
    <row r="150" spans="4:32" ht="15.75">
      <c r="D150" s="85"/>
      <c r="E150" s="85"/>
      <c r="F150" s="85"/>
      <c r="G150" s="85"/>
      <c r="H150" s="85"/>
      <c r="AF150" s="99"/>
    </row>
    <row r="151" spans="4:32" ht="15.75">
      <c r="D151" s="85"/>
      <c r="E151" s="85"/>
      <c r="F151" s="85"/>
      <c r="G151" s="85"/>
      <c r="H151" s="85"/>
      <c r="AF151" s="99"/>
    </row>
    <row r="152" spans="4:32" ht="15.75">
      <c r="D152" s="85"/>
      <c r="E152" s="85"/>
      <c r="F152" s="85"/>
      <c r="G152" s="85"/>
      <c r="H152" s="85"/>
      <c r="AF152" s="99"/>
    </row>
    <row r="153" spans="4:32" ht="15.75">
      <c r="D153" s="85"/>
      <c r="E153" s="85"/>
      <c r="F153" s="85"/>
      <c r="G153" s="85"/>
      <c r="H153" s="85"/>
      <c r="AF153" s="99"/>
    </row>
    <row r="154" spans="4:32" ht="15.75">
      <c r="D154" s="85"/>
      <c r="E154" s="85"/>
      <c r="F154" s="85"/>
      <c r="G154" s="85"/>
      <c r="H154" s="85"/>
      <c r="AF154" s="99"/>
    </row>
    <row r="155" spans="4:32" ht="15.75">
      <c r="D155" s="85"/>
      <c r="E155" s="85"/>
      <c r="F155" s="85"/>
      <c r="G155" s="85"/>
      <c r="H155" s="85"/>
      <c r="AF155" s="99"/>
    </row>
    <row r="156" spans="4:32" ht="15.75">
      <c r="D156" s="85"/>
      <c r="E156" s="85"/>
      <c r="F156" s="85"/>
      <c r="G156" s="85"/>
      <c r="H156" s="85"/>
      <c r="AF156" s="99"/>
    </row>
    <row r="157" spans="4:32" ht="15.75">
      <c r="D157" s="85"/>
      <c r="E157" s="85"/>
      <c r="F157" s="85"/>
      <c r="G157" s="85"/>
      <c r="H157" s="85"/>
      <c r="AF157" s="99"/>
    </row>
    <row r="158" spans="4:32" ht="15.75">
      <c r="D158" s="85"/>
      <c r="E158" s="85"/>
      <c r="F158" s="85"/>
      <c r="G158" s="85"/>
      <c r="H158" s="85"/>
      <c r="AF158" s="99"/>
    </row>
    <row r="159" spans="4:32" ht="15.75">
      <c r="D159" s="85"/>
      <c r="E159" s="85"/>
      <c r="F159" s="85"/>
      <c r="G159" s="85"/>
      <c r="H159" s="85"/>
      <c r="AF159" s="99"/>
    </row>
    <row r="160" spans="4:32" ht="15.75">
      <c r="D160" s="85"/>
      <c r="E160" s="85"/>
      <c r="F160" s="85"/>
      <c r="G160" s="85"/>
      <c r="H160" s="85"/>
      <c r="AF160" s="99"/>
    </row>
    <row r="161" spans="4:32" ht="15.75">
      <c r="D161" s="85"/>
      <c r="E161" s="85"/>
      <c r="F161" s="85"/>
      <c r="G161" s="85"/>
      <c r="H161" s="85"/>
      <c r="AF161" s="99"/>
    </row>
    <row r="162" spans="4:32" ht="15.75">
      <c r="D162" s="85"/>
      <c r="E162" s="85"/>
      <c r="F162" s="85"/>
      <c r="G162" s="85"/>
      <c r="H162" s="85"/>
      <c r="AF162" s="99"/>
    </row>
    <row r="163" spans="4:32" ht="15.75">
      <c r="D163" s="85"/>
      <c r="E163" s="85"/>
      <c r="F163" s="85"/>
      <c r="G163" s="85"/>
      <c r="H163" s="85"/>
      <c r="AF163" s="99"/>
    </row>
    <row r="164" spans="4:32" ht="15.75">
      <c r="D164" s="85"/>
      <c r="E164" s="85"/>
      <c r="F164" s="85"/>
      <c r="G164" s="85"/>
      <c r="H164" s="85"/>
      <c r="AF164" s="99"/>
    </row>
    <row r="165" spans="4:32" ht="15.75">
      <c r="D165" s="85"/>
      <c r="E165" s="85"/>
      <c r="F165" s="85"/>
      <c r="G165" s="85"/>
      <c r="H165" s="85"/>
      <c r="AF165" s="99"/>
    </row>
    <row r="166" spans="4:32" ht="15.75">
      <c r="D166" s="85"/>
      <c r="E166" s="85"/>
      <c r="F166" s="85"/>
      <c r="G166" s="85"/>
      <c r="H166" s="85"/>
      <c r="AF166" s="99"/>
    </row>
    <row r="167" spans="4:32" ht="15.75">
      <c r="D167" s="85"/>
      <c r="E167" s="85"/>
      <c r="F167" s="85"/>
      <c r="G167" s="85"/>
      <c r="H167" s="85"/>
      <c r="AF167" s="99"/>
    </row>
    <row r="168" spans="4:32" ht="15.75">
      <c r="D168" s="85"/>
      <c r="E168" s="85"/>
      <c r="F168" s="85"/>
      <c r="G168" s="85"/>
      <c r="H168" s="85"/>
      <c r="AF168" s="99"/>
    </row>
    <row r="169" spans="4:32" ht="15.75">
      <c r="D169" s="85"/>
      <c r="E169" s="85"/>
      <c r="F169" s="85"/>
      <c r="G169" s="85"/>
      <c r="H169" s="85"/>
      <c r="AF169" s="99"/>
    </row>
    <row r="170" spans="4:32" ht="15.75">
      <c r="D170" s="85"/>
      <c r="E170" s="85"/>
      <c r="F170" s="85"/>
      <c r="G170" s="85"/>
      <c r="H170" s="85"/>
      <c r="AF170" s="99"/>
    </row>
    <row r="171" spans="4:32" ht="15.75">
      <c r="D171" s="85"/>
      <c r="E171" s="85"/>
      <c r="F171" s="85"/>
      <c r="G171" s="85"/>
      <c r="H171" s="85"/>
      <c r="AF171" s="99"/>
    </row>
    <row r="172" spans="4:32" ht="15.75">
      <c r="D172" s="85"/>
      <c r="E172" s="85"/>
      <c r="F172" s="85"/>
      <c r="G172" s="85"/>
      <c r="H172" s="85"/>
      <c r="AF172" s="99"/>
    </row>
    <row r="173" spans="4:32" ht="15.75">
      <c r="D173" s="85"/>
      <c r="E173" s="85"/>
      <c r="F173" s="85"/>
      <c r="G173" s="85"/>
      <c r="H173" s="85"/>
      <c r="AF173" s="99"/>
    </row>
    <row r="174" spans="4:32" ht="15.75">
      <c r="D174" s="85"/>
      <c r="E174" s="85"/>
      <c r="F174" s="85"/>
      <c r="G174" s="85"/>
      <c r="H174" s="85"/>
      <c r="AF174" s="99"/>
    </row>
    <row r="175" spans="4:32" ht="15.75">
      <c r="D175" s="85"/>
      <c r="E175" s="85"/>
      <c r="F175" s="85"/>
      <c r="G175" s="85"/>
      <c r="H175" s="85"/>
      <c r="AF175" s="99"/>
    </row>
    <row r="176" spans="4:32" ht="15.75">
      <c r="D176" s="85"/>
      <c r="E176" s="85"/>
      <c r="F176" s="85"/>
      <c r="G176" s="85"/>
      <c r="H176" s="85"/>
      <c r="AF176" s="99"/>
    </row>
    <row r="177" spans="4:32" ht="15.75">
      <c r="D177" s="85"/>
      <c r="E177" s="85"/>
      <c r="F177" s="85"/>
      <c r="G177" s="85"/>
      <c r="H177" s="85"/>
      <c r="AF177" s="99"/>
    </row>
    <row r="178" spans="4:32" ht="15.75">
      <c r="D178" s="85"/>
      <c r="E178" s="85"/>
      <c r="F178" s="85"/>
      <c r="G178" s="85"/>
      <c r="H178" s="85"/>
      <c r="AF178" s="99"/>
    </row>
    <row r="179" spans="4:32" ht="15.75">
      <c r="D179" s="85"/>
      <c r="E179" s="85"/>
      <c r="F179" s="85"/>
      <c r="G179" s="85"/>
      <c r="H179" s="85"/>
      <c r="AF179" s="99"/>
    </row>
    <row r="180" spans="4:32" ht="15.75">
      <c r="D180" s="85"/>
      <c r="E180" s="85"/>
      <c r="F180" s="85"/>
      <c r="G180" s="85"/>
      <c r="H180" s="85"/>
      <c r="AF180" s="99"/>
    </row>
    <row r="181" spans="4:32" ht="15.75">
      <c r="D181" s="85"/>
      <c r="E181" s="85"/>
      <c r="F181" s="85"/>
      <c r="G181" s="85"/>
      <c r="H181" s="85"/>
      <c r="AF181" s="99"/>
    </row>
    <row r="182" spans="4:32" ht="15.75">
      <c r="D182" s="85"/>
      <c r="E182" s="85"/>
      <c r="F182" s="85"/>
      <c r="G182" s="85"/>
      <c r="H182" s="85"/>
      <c r="AF182" s="99"/>
    </row>
    <row r="183" spans="4:32" ht="15.75">
      <c r="D183" s="85"/>
      <c r="E183" s="85"/>
      <c r="F183" s="85"/>
      <c r="G183" s="85"/>
      <c r="H183" s="85"/>
      <c r="AF183" s="99"/>
    </row>
    <row r="184" spans="4:32" ht="15.75">
      <c r="D184" s="85"/>
      <c r="E184" s="85"/>
      <c r="F184" s="85"/>
      <c r="G184" s="85"/>
      <c r="H184" s="85"/>
      <c r="AF184" s="99"/>
    </row>
    <row r="185" spans="4:32" ht="15.75">
      <c r="D185" s="85"/>
      <c r="E185" s="85"/>
      <c r="F185" s="85"/>
      <c r="G185" s="85"/>
      <c r="H185" s="85"/>
      <c r="AF185" s="99"/>
    </row>
    <row r="186" spans="4:32" ht="15.75">
      <c r="D186" s="85"/>
      <c r="E186" s="85"/>
      <c r="F186" s="85"/>
      <c r="G186" s="85"/>
      <c r="H186" s="85"/>
      <c r="AF186" s="99"/>
    </row>
    <row r="187" spans="4:32" ht="15.75">
      <c r="D187" s="85"/>
      <c r="E187" s="85"/>
      <c r="F187" s="85"/>
      <c r="G187" s="85"/>
      <c r="H187" s="85"/>
      <c r="AF187" s="99"/>
    </row>
    <row r="188" spans="4:32" ht="15.75">
      <c r="D188" s="85"/>
      <c r="E188" s="85"/>
      <c r="F188" s="85"/>
      <c r="G188" s="85"/>
      <c r="H188" s="85"/>
      <c r="AF188" s="99"/>
    </row>
    <row r="189" spans="4:32" ht="15.75">
      <c r="D189" s="85"/>
      <c r="E189" s="85"/>
      <c r="F189" s="85"/>
      <c r="G189" s="85"/>
      <c r="H189" s="85"/>
      <c r="AF189" s="99"/>
    </row>
    <row r="190" spans="4:32" ht="15.75">
      <c r="D190" s="85"/>
      <c r="E190" s="85"/>
      <c r="F190" s="85"/>
      <c r="G190" s="85"/>
      <c r="H190" s="85"/>
      <c r="AF190" s="99"/>
    </row>
    <row r="191" spans="4:32" ht="15.75">
      <c r="D191" s="85"/>
      <c r="E191" s="85"/>
      <c r="F191" s="85"/>
      <c r="G191" s="85"/>
      <c r="H191" s="85"/>
      <c r="AF191" s="99"/>
    </row>
    <row r="192" spans="4:32" ht="15.75">
      <c r="D192" s="85"/>
      <c r="E192" s="85"/>
      <c r="F192" s="85"/>
      <c r="G192" s="85"/>
      <c r="H192" s="85"/>
      <c r="AF192" s="99"/>
    </row>
    <row r="193" spans="4:32" ht="15.75">
      <c r="D193" s="85"/>
      <c r="E193" s="85"/>
      <c r="F193" s="85"/>
      <c r="G193" s="85"/>
      <c r="H193" s="85"/>
      <c r="AF193" s="99"/>
    </row>
    <row r="194" spans="4:32" ht="15.75">
      <c r="D194" s="85"/>
      <c r="E194" s="85"/>
      <c r="F194" s="85"/>
      <c r="G194" s="85"/>
      <c r="H194" s="85"/>
      <c r="AF194" s="99"/>
    </row>
    <row r="195" spans="4:32" ht="15.75">
      <c r="D195" s="85"/>
      <c r="E195" s="85"/>
      <c r="F195" s="85"/>
      <c r="G195" s="85"/>
      <c r="H195" s="85"/>
      <c r="AF195" s="99"/>
    </row>
    <row r="196" spans="4:32" ht="15.75">
      <c r="D196" s="85"/>
      <c r="E196" s="85"/>
      <c r="F196" s="85"/>
      <c r="G196" s="85"/>
      <c r="H196" s="85"/>
      <c r="AF196" s="99"/>
    </row>
    <row r="197" spans="4:32" ht="15.75">
      <c r="D197" s="85"/>
      <c r="E197" s="85"/>
      <c r="F197" s="85"/>
      <c r="G197" s="85"/>
      <c r="H197" s="85"/>
      <c r="AF197" s="99"/>
    </row>
    <row r="198" spans="4:32" ht="15.75">
      <c r="D198" s="85"/>
      <c r="E198" s="85"/>
      <c r="F198" s="85"/>
      <c r="G198" s="85"/>
      <c r="H198" s="85"/>
      <c r="AF198" s="99"/>
    </row>
    <row r="199" spans="4:32" ht="15.75">
      <c r="D199" s="85"/>
      <c r="E199" s="85"/>
      <c r="F199" s="85"/>
      <c r="G199" s="85"/>
      <c r="H199" s="85"/>
      <c r="AF199" s="99"/>
    </row>
    <row r="200" spans="4:32" ht="15.75">
      <c r="D200" s="85"/>
      <c r="E200" s="85"/>
      <c r="F200" s="85"/>
      <c r="G200" s="85"/>
      <c r="H200" s="85"/>
      <c r="AF200" s="99"/>
    </row>
    <row r="201" spans="4:32" ht="15.75">
      <c r="D201" s="85"/>
      <c r="E201" s="85"/>
      <c r="F201" s="85"/>
      <c r="G201" s="85"/>
      <c r="H201" s="85"/>
      <c r="AF201" s="99"/>
    </row>
    <row r="202" spans="4:32" ht="15.75">
      <c r="D202" s="85"/>
      <c r="E202" s="85"/>
      <c r="F202" s="85"/>
      <c r="G202" s="85"/>
      <c r="H202" s="85"/>
      <c r="AF202" s="99"/>
    </row>
    <row r="203" spans="4:32" ht="15.75">
      <c r="D203" s="85"/>
      <c r="E203" s="85"/>
      <c r="F203" s="85"/>
      <c r="G203" s="85"/>
      <c r="H203" s="85"/>
      <c r="AF203" s="99"/>
    </row>
    <row r="204" spans="4:32" ht="15.75">
      <c r="D204" s="85"/>
      <c r="E204" s="85"/>
      <c r="F204" s="85"/>
      <c r="G204" s="85"/>
      <c r="H204" s="85"/>
      <c r="AF204" s="99"/>
    </row>
    <row r="205" spans="4:32" ht="15.75">
      <c r="D205" s="85"/>
      <c r="E205" s="85"/>
      <c r="F205" s="85"/>
      <c r="G205" s="85"/>
      <c r="H205" s="85"/>
      <c r="AF205" s="99"/>
    </row>
    <row r="206" spans="4:32" ht="15.75">
      <c r="D206" s="85"/>
      <c r="E206" s="85"/>
      <c r="F206" s="85"/>
      <c r="G206" s="85"/>
      <c r="H206" s="85"/>
      <c r="AF206" s="99"/>
    </row>
    <row r="207" spans="4:32" ht="15.75">
      <c r="D207" s="85"/>
      <c r="E207" s="85"/>
      <c r="F207" s="85"/>
      <c r="G207" s="85"/>
      <c r="H207" s="85"/>
      <c r="AF207" s="99"/>
    </row>
    <row r="208" spans="4:32" ht="15.75">
      <c r="D208" s="85"/>
      <c r="E208" s="85"/>
      <c r="F208" s="85"/>
      <c r="G208" s="85"/>
      <c r="H208" s="85"/>
      <c r="AF208" s="99"/>
    </row>
    <row r="209" spans="4:32" ht="15.75">
      <c r="D209" s="85"/>
      <c r="E209" s="85"/>
      <c r="F209" s="85"/>
      <c r="G209" s="85"/>
      <c r="H209" s="85"/>
      <c r="AF209" s="99"/>
    </row>
    <row r="210" spans="4:32" ht="15.75">
      <c r="D210" s="85"/>
      <c r="E210" s="85"/>
      <c r="F210" s="85"/>
      <c r="G210" s="85"/>
      <c r="H210" s="85"/>
      <c r="AF210" s="99"/>
    </row>
    <row r="211" spans="4:32" ht="15.75">
      <c r="D211" s="85"/>
      <c r="E211" s="85"/>
      <c r="F211" s="85"/>
      <c r="G211" s="85"/>
      <c r="H211" s="85"/>
      <c r="AF211" s="99"/>
    </row>
    <row r="212" spans="4:32" ht="15.75">
      <c r="D212" s="85"/>
      <c r="E212" s="85"/>
      <c r="F212" s="85"/>
      <c r="G212" s="85"/>
      <c r="H212" s="85"/>
      <c r="AF212" s="99"/>
    </row>
    <row r="213" spans="4:32" ht="15.75">
      <c r="D213" s="85"/>
      <c r="E213" s="85"/>
      <c r="F213" s="85"/>
      <c r="G213" s="85"/>
      <c r="H213" s="85"/>
      <c r="AF213" s="99"/>
    </row>
    <row r="214" spans="4:32" ht="15.75">
      <c r="D214" s="85"/>
      <c r="E214" s="85"/>
      <c r="F214" s="85"/>
      <c r="G214" s="85"/>
      <c r="H214" s="85"/>
      <c r="AF214" s="99"/>
    </row>
    <row r="215" spans="4:32" ht="15.75">
      <c r="D215" s="85"/>
      <c r="E215" s="85"/>
      <c r="F215" s="85"/>
      <c r="G215" s="85"/>
      <c r="H215" s="85"/>
      <c r="AF215" s="99"/>
    </row>
    <row r="216" spans="4:32" ht="15.75">
      <c r="D216" s="85"/>
      <c r="E216" s="85"/>
      <c r="F216" s="85"/>
      <c r="G216" s="85"/>
      <c r="H216" s="85"/>
      <c r="AF216" s="99"/>
    </row>
    <row r="217" spans="4:32" ht="15.75">
      <c r="D217" s="85"/>
      <c r="E217" s="85"/>
      <c r="F217" s="85"/>
      <c r="G217" s="85"/>
      <c r="H217" s="85"/>
      <c r="AF217" s="99"/>
    </row>
    <row r="218" spans="4:32" ht="15.75">
      <c r="D218" s="85"/>
      <c r="E218" s="85"/>
      <c r="F218" s="85"/>
      <c r="G218" s="85"/>
      <c r="H218" s="85"/>
      <c r="AF218" s="99"/>
    </row>
    <row r="219" spans="4:32" ht="15.75">
      <c r="D219" s="85"/>
      <c r="E219" s="85"/>
      <c r="F219" s="85"/>
      <c r="G219" s="85"/>
      <c r="H219" s="85"/>
      <c r="AF219" s="99"/>
    </row>
    <row r="220" spans="4:32" ht="15.75">
      <c r="D220" s="85"/>
      <c r="E220" s="85"/>
      <c r="F220" s="85"/>
      <c r="G220" s="85"/>
      <c r="H220" s="85"/>
      <c r="AF220" s="99"/>
    </row>
    <row r="221" spans="4:32" ht="15.75">
      <c r="D221" s="85"/>
      <c r="E221" s="85"/>
      <c r="F221" s="85"/>
      <c r="G221" s="85"/>
      <c r="H221" s="85"/>
      <c r="AF221" s="99"/>
    </row>
    <row r="222" spans="4:32" ht="15.75">
      <c r="D222" s="85"/>
      <c r="E222" s="85"/>
      <c r="F222" s="85"/>
      <c r="G222" s="85"/>
      <c r="H222" s="85"/>
      <c r="AF222" s="99"/>
    </row>
    <row r="223" spans="4:32" ht="15.75">
      <c r="D223" s="85"/>
      <c r="E223" s="85"/>
      <c r="F223" s="85"/>
      <c r="G223" s="85"/>
      <c r="H223" s="85"/>
      <c r="AF223" s="99"/>
    </row>
    <row r="224" spans="4:32" ht="15.75">
      <c r="D224" s="85"/>
      <c r="E224" s="85"/>
      <c r="F224" s="85"/>
      <c r="G224" s="85"/>
      <c r="H224" s="85"/>
      <c r="AF224" s="99"/>
    </row>
    <row r="225" spans="4:32" ht="15.75">
      <c r="D225" s="85"/>
      <c r="E225" s="85"/>
      <c r="F225" s="85"/>
      <c r="G225" s="85"/>
      <c r="H225" s="85"/>
      <c r="AF225" s="99"/>
    </row>
    <row r="226" spans="4:32" ht="15.75">
      <c r="D226" s="85"/>
      <c r="E226" s="85"/>
      <c r="F226" s="85"/>
      <c r="G226" s="85"/>
      <c r="H226" s="85"/>
      <c r="AF226" s="99"/>
    </row>
    <row r="227" spans="4:32" ht="15.75">
      <c r="D227" s="85"/>
      <c r="E227" s="85"/>
      <c r="F227" s="85"/>
      <c r="G227" s="85"/>
      <c r="H227" s="85"/>
      <c r="AF227" s="99"/>
    </row>
    <row r="228" spans="4:32" ht="15.75">
      <c r="D228" s="85"/>
      <c r="E228" s="85"/>
      <c r="F228" s="85"/>
      <c r="G228" s="85"/>
      <c r="H228" s="85"/>
      <c r="AF228" s="99"/>
    </row>
    <row r="229" spans="4:32" ht="15.75">
      <c r="D229" s="85"/>
      <c r="E229" s="85"/>
      <c r="F229" s="85"/>
      <c r="G229" s="85"/>
      <c r="H229" s="85"/>
      <c r="AF229" s="99"/>
    </row>
    <row r="230" spans="4:32" ht="15.75">
      <c r="D230" s="85"/>
      <c r="E230" s="85"/>
      <c r="F230" s="85"/>
      <c r="G230" s="85"/>
      <c r="H230" s="85"/>
      <c r="AF230" s="99"/>
    </row>
    <row r="231" spans="4:32" ht="15.75">
      <c r="D231" s="85"/>
      <c r="E231" s="85"/>
      <c r="F231" s="85"/>
      <c r="G231" s="85"/>
      <c r="H231" s="85"/>
      <c r="AF231" s="99"/>
    </row>
    <row r="232" spans="4:32" ht="15.75">
      <c r="D232" s="85"/>
      <c r="E232" s="85"/>
      <c r="F232" s="85"/>
      <c r="G232" s="85"/>
      <c r="H232" s="85"/>
      <c r="AF232" s="99"/>
    </row>
    <row r="233" spans="4:32" ht="15.75">
      <c r="D233" s="85"/>
      <c r="E233" s="85"/>
      <c r="F233" s="85"/>
      <c r="G233" s="85"/>
      <c r="H233" s="85"/>
      <c r="AF233" s="99"/>
    </row>
    <row r="234" spans="4:32" ht="15.75">
      <c r="D234" s="85"/>
      <c r="E234" s="85"/>
      <c r="F234" s="85"/>
      <c r="G234" s="85"/>
      <c r="H234" s="85"/>
      <c r="AF234" s="99"/>
    </row>
    <row r="235" spans="4:32" ht="15.75">
      <c r="D235" s="85"/>
      <c r="E235" s="85"/>
      <c r="F235" s="85"/>
      <c r="G235" s="85"/>
      <c r="H235" s="85"/>
      <c r="AF235" s="99"/>
    </row>
    <row r="236" spans="4:32" ht="15.75">
      <c r="D236" s="85"/>
      <c r="E236" s="85"/>
      <c r="F236" s="85"/>
      <c r="G236" s="85"/>
      <c r="H236" s="85"/>
      <c r="AF236" s="99"/>
    </row>
    <row r="237" spans="4:32" ht="15.75">
      <c r="D237" s="85"/>
      <c r="E237" s="85"/>
      <c r="F237" s="85"/>
      <c r="G237" s="85"/>
      <c r="H237" s="85"/>
      <c r="AF237" s="99"/>
    </row>
    <row r="238" spans="4:32" ht="15.75">
      <c r="D238" s="85"/>
      <c r="E238" s="85"/>
      <c r="F238" s="85"/>
      <c r="G238" s="85"/>
      <c r="H238" s="85"/>
      <c r="AF238" s="99"/>
    </row>
    <row r="239" spans="4:32" ht="15.75">
      <c r="D239" s="85"/>
      <c r="E239" s="85"/>
      <c r="F239" s="85"/>
      <c r="G239" s="85"/>
      <c r="H239" s="85"/>
      <c r="AF239" s="99"/>
    </row>
    <row r="240" spans="4:32" ht="15.75">
      <c r="D240" s="85"/>
      <c r="E240" s="85"/>
      <c r="F240" s="85"/>
      <c r="G240" s="85"/>
      <c r="H240" s="85"/>
      <c r="AF240" s="99"/>
    </row>
    <row r="241" spans="4:32" ht="15.75">
      <c r="D241" s="85"/>
      <c r="E241" s="85"/>
      <c r="F241" s="85"/>
      <c r="G241" s="85"/>
      <c r="H241" s="85"/>
      <c r="AF241" s="99"/>
    </row>
    <row r="242" spans="4:32" ht="15.75">
      <c r="D242" s="85"/>
      <c r="E242" s="85"/>
      <c r="F242" s="85"/>
      <c r="G242" s="85"/>
      <c r="H242" s="85"/>
      <c r="AF242" s="99"/>
    </row>
    <row r="243" spans="4:32" ht="15.75">
      <c r="D243" s="85"/>
      <c r="E243" s="85"/>
      <c r="F243" s="85"/>
      <c r="G243" s="85"/>
      <c r="H243" s="85"/>
      <c r="AF243" s="99"/>
    </row>
    <row r="244" spans="4:32" ht="15.75">
      <c r="D244" s="85"/>
      <c r="E244" s="85"/>
      <c r="F244" s="85"/>
      <c r="G244" s="85"/>
      <c r="H244" s="85"/>
      <c r="AF244" s="99"/>
    </row>
    <row r="245" spans="4:32" ht="15.75">
      <c r="D245" s="85"/>
      <c r="E245" s="85"/>
      <c r="F245" s="85"/>
      <c r="G245" s="85"/>
      <c r="H245" s="85"/>
      <c r="AF245" s="99"/>
    </row>
    <row r="246" spans="4:32" ht="15.75">
      <c r="D246" s="85"/>
      <c r="E246" s="85"/>
      <c r="F246" s="85"/>
      <c r="G246" s="85"/>
      <c r="H246" s="85"/>
      <c r="AF246" s="99"/>
    </row>
    <row r="247" spans="4:32" ht="15.75">
      <c r="D247" s="85"/>
      <c r="E247" s="85"/>
      <c r="F247" s="85"/>
      <c r="G247" s="85"/>
      <c r="H247" s="85"/>
      <c r="AF247" s="99"/>
    </row>
    <row r="248" spans="4:32" ht="15.75">
      <c r="D248" s="85"/>
      <c r="E248" s="85"/>
      <c r="F248" s="85"/>
      <c r="G248" s="85"/>
      <c r="H248" s="85"/>
      <c r="AF248" s="99"/>
    </row>
    <row r="249" spans="4:32" ht="15.75">
      <c r="D249" s="85"/>
      <c r="E249" s="85"/>
      <c r="F249" s="85"/>
      <c r="G249" s="85"/>
      <c r="H249" s="85"/>
      <c r="AF249" s="99"/>
    </row>
    <row r="250" spans="4:32" ht="15.75">
      <c r="D250" s="85"/>
      <c r="E250" s="85"/>
      <c r="F250" s="85"/>
      <c r="G250" s="85"/>
      <c r="H250" s="85"/>
      <c r="AF250" s="99"/>
    </row>
    <row r="251" spans="4:32" ht="15.75">
      <c r="D251" s="85"/>
      <c r="E251" s="85"/>
      <c r="F251" s="85"/>
      <c r="G251" s="85"/>
      <c r="H251" s="85"/>
      <c r="AF251" s="99"/>
    </row>
    <row r="252" spans="4:32" ht="15.75">
      <c r="D252" s="85"/>
      <c r="E252" s="85"/>
      <c r="F252" s="85"/>
      <c r="G252" s="85"/>
      <c r="H252" s="85"/>
      <c r="AF252" s="99"/>
    </row>
    <row r="253" spans="4:32" ht="15.75">
      <c r="D253" s="85"/>
      <c r="E253" s="85"/>
      <c r="F253" s="85"/>
      <c r="G253" s="85"/>
      <c r="H253" s="85"/>
      <c r="AF253" s="99"/>
    </row>
    <row r="254" spans="4:32" ht="15.75">
      <c r="D254" s="85"/>
      <c r="E254" s="85"/>
      <c r="F254" s="85"/>
      <c r="G254" s="85"/>
      <c r="H254" s="85"/>
      <c r="AF254" s="99"/>
    </row>
    <row r="255" spans="4:32" ht="15.75">
      <c r="D255" s="85"/>
      <c r="E255" s="85"/>
      <c r="F255" s="85"/>
      <c r="G255" s="85"/>
      <c r="H255" s="85"/>
      <c r="AF255" s="99"/>
    </row>
    <row r="256" spans="4:32" ht="15.75">
      <c r="D256" s="85"/>
      <c r="E256" s="85"/>
      <c r="F256" s="85"/>
      <c r="G256" s="85"/>
      <c r="H256" s="85"/>
      <c r="AF256" s="99"/>
    </row>
    <row r="257" spans="4:32" ht="15.75">
      <c r="D257" s="85"/>
      <c r="E257" s="85"/>
      <c r="F257" s="85"/>
      <c r="G257" s="85"/>
      <c r="H257" s="85"/>
      <c r="AF257" s="99"/>
    </row>
    <row r="258" spans="4:32" ht="15.75">
      <c r="D258" s="85"/>
      <c r="E258" s="85"/>
      <c r="F258" s="85"/>
      <c r="G258" s="85"/>
      <c r="H258" s="85"/>
      <c r="AF258" s="99"/>
    </row>
    <row r="259" spans="4:32" ht="15.75">
      <c r="D259" s="85"/>
      <c r="E259" s="85"/>
      <c r="F259" s="85"/>
      <c r="G259" s="85"/>
      <c r="H259" s="85"/>
      <c r="AF259" s="99"/>
    </row>
    <row r="260" spans="4:32" ht="15.75">
      <c r="D260" s="85"/>
      <c r="E260" s="85"/>
      <c r="F260" s="85"/>
      <c r="G260" s="85"/>
      <c r="H260" s="85"/>
      <c r="AF260" s="99"/>
    </row>
    <row r="261" spans="4:32" ht="15.75">
      <c r="D261" s="85"/>
      <c r="E261" s="85"/>
      <c r="F261" s="85"/>
      <c r="G261" s="85"/>
      <c r="H261" s="85"/>
      <c r="AF261" s="99"/>
    </row>
    <row r="262" spans="4:32" ht="15.75">
      <c r="D262" s="85"/>
      <c r="E262" s="85"/>
      <c r="F262" s="85"/>
      <c r="G262" s="85"/>
      <c r="H262" s="85"/>
      <c r="AF262" s="99"/>
    </row>
    <row r="263" spans="4:32" ht="15.75">
      <c r="D263" s="85"/>
      <c r="E263" s="85"/>
      <c r="F263" s="85"/>
      <c r="G263" s="85"/>
      <c r="H263" s="85"/>
      <c r="AF263" s="99"/>
    </row>
    <row r="264" spans="4:32" ht="15.75">
      <c r="D264" s="85"/>
      <c r="E264" s="85"/>
      <c r="F264" s="85"/>
      <c r="G264" s="85"/>
      <c r="H264" s="85"/>
      <c r="AF264" s="99"/>
    </row>
    <row r="265" spans="4:32" ht="15.75">
      <c r="D265" s="85"/>
      <c r="E265" s="85"/>
      <c r="F265" s="85"/>
      <c r="G265" s="85"/>
      <c r="H265" s="85"/>
      <c r="AF265" s="99"/>
    </row>
    <row r="266" spans="4:32" ht="15.75">
      <c r="D266" s="85"/>
      <c r="E266" s="85"/>
      <c r="F266" s="85"/>
      <c r="G266" s="85"/>
      <c r="H266" s="85"/>
      <c r="AF266" s="99"/>
    </row>
    <row r="267" spans="4:32" ht="15.75">
      <c r="D267" s="85"/>
      <c r="E267" s="85"/>
      <c r="F267" s="85"/>
      <c r="G267" s="85"/>
      <c r="H267" s="85"/>
      <c r="AF267" s="99"/>
    </row>
    <row r="268" spans="4:32" ht="15.75">
      <c r="D268" s="85"/>
      <c r="E268" s="85"/>
      <c r="F268" s="85"/>
      <c r="G268" s="85"/>
      <c r="H268" s="85"/>
      <c r="AF268" s="99"/>
    </row>
    <row r="269" spans="4:32" ht="15.75">
      <c r="D269" s="85"/>
      <c r="E269" s="85"/>
      <c r="F269" s="85"/>
      <c r="G269" s="85"/>
      <c r="H269" s="85"/>
      <c r="AF269" s="99"/>
    </row>
    <row r="270" spans="4:32" ht="15.75">
      <c r="D270" s="85"/>
      <c r="E270" s="85"/>
      <c r="F270" s="85"/>
      <c r="G270" s="85"/>
      <c r="H270" s="85"/>
      <c r="AF270" s="99"/>
    </row>
    <row r="271" spans="4:32" ht="15.75">
      <c r="D271" s="85"/>
      <c r="E271" s="85"/>
      <c r="F271" s="85"/>
      <c r="G271" s="85"/>
      <c r="H271" s="85"/>
      <c r="AF271" s="99"/>
    </row>
    <row r="272" spans="4:32" ht="15.75">
      <c r="D272" s="85"/>
      <c r="E272" s="85"/>
      <c r="F272" s="85"/>
      <c r="G272" s="85"/>
      <c r="H272" s="85"/>
      <c r="AF272" s="99"/>
    </row>
    <row r="273" spans="4:32" ht="15.75">
      <c r="D273" s="85"/>
      <c r="E273" s="85"/>
      <c r="F273" s="85"/>
      <c r="G273" s="85"/>
      <c r="H273" s="85"/>
      <c r="AF273" s="99"/>
    </row>
    <row r="274" spans="4:32" ht="15.75">
      <c r="D274" s="85"/>
      <c r="E274" s="85"/>
      <c r="F274" s="85"/>
      <c r="G274" s="85"/>
      <c r="H274" s="85"/>
      <c r="AF274" s="99"/>
    </row>
    <row r="275" spans="4:32" ht="15.75">
      <c r="D275" s="85"/>
      <c r="E275" s="85"/>
      <c r="F275" s="85"/>
      <c r="G275" s="85"/>
      <c r="H275" s="85"/>
      <c r="AF275" s="99"/>
    </row>
    <row r="276" spans="4:32" ht="15.75">
      <c r="D276" s="85"/>
      <c r="E276" s="85"/>
      <c r="F276" s="85"/>
      <c r="G276" s="85"/>
      <c r="H276" s="85"/>
      <c r="AF276" s="99"/>
    </row>
    <row r="277" spans="4:32" ht="15.75">
      <c r="D277" s="85"/>
      <c r="E277" s="85"/>
      <c r="F277" s="85"/>
      <c r="G277" s="85"/>
      <c r="H277" s="85"/>
      <c r="AF277" s="99"/>
    </row>
    <row r="278" spans="4:32" ht="15.75">
      <c r="D278" s="85"/>
      <c r="E278" s="85"/>
      <c r="F278" s="85"/>
      <c r="G278" s="85"/>
      <c r="H278" s="85"/>
      <c r="AF278" s="99"/>
    </row>
    <row r="279" spans="4:32" ht="15.75">
      <c r="D279" s="85"/>
      <c r="E279" s="85"/>
      <c r="F279" s="85"/>
      <c r="G279" s="85"/>
      <c r="H279" s="85"/>
      <c r="AF279" s="99"/>
    </row>
    <row r="280" spans="4:32" ht="15.75">
      <c r="D280" s="85"/>
      <c r="E280" s="85"/>
      <c r="F280" s="85"/>
      <c r="G280" s="85"/>
      <c r="H280" s="85"/>
      <c r="AF280" s="99"/>
    </row>
    <row r="281" spans="4:32" ht="15.75">
      <c r="D281" s="85"/>
      <c r="E281" s="85"/>
      <c r="F281" s="85"/>
      <c r="G281" s="85"/>
      <c r="H281" s="85"/>
      <c r="AF281" s="99"/>
    </row>
    <row r="282" spans="4:32" ht="15.75">
      <c r="D282" s="85"/>
      <c r="E282" s="85"/>
      <c r="F282" s="85"/>
      <c r="G282" s="85"/>
      <c r="H282" s="85"/>
      <c r="AF282" s="99"/>
    </row>
    <row r="283" spans="4:32" ht="15.75">
      <c r="D283" s="85"/>
      <c r="E283" s="85"/>
      <c r="F283" s="85"/>
      <c r="G283" s="85"/>
      <c r="H283" s="85"/>
      <c r="AF283" s="99"/>
    </row>
    <row r="284" spans="4:32" ht="15.75">
      <c r="D284" s="85"/>
      <c r="E284" s="85"/>
      <c r="F284" s="85"/>
      <c r="G284" s="85"/>
      <c r="H284" s="85"/>
      <c r="AF284" s="99"/>
    </row>
    <row r="285" spans="4:32" ht="15.75">
      <c r="D285" s="85"/>
      <c r="E285" s="85"/>
      <c r="F285" s="85"/>
      <c r="G285" s="85"/>
      <c r="H285" s="85"/>
      <c r="AF285" s="99"/>
    </row>
    <row r="286" spans="4:32" ht="15.75">
      <c r="D286" s="85"/>
      <c r="E286" s="85"/>
      <c r="F286" s="85"/>
      <c r="G286" s="85"/>
      <c r="H286" s="85"/>
      <c r="AF286" s="99"/>
    </row>
    <row r="287" spans="4:32" ht="15.75">
      <c r="D287" s="85"/>
      <c r="E287" s="85"/>
      <c r="F287" s="85"/>
      <c r="G287" s="85"/>
      <c r="H287" s="85"/>
      <c r="AF287" s="99"/>
    </row>
    <row r="288" spans="4:32" ht="15.75">
      <c r="D288" s="85"/>
      <c r="E288" s="85"/>
      <c r="F288" s="85"/>
      <c r="G288" s="85"/>
      <c r="H288" s="85"/>
      <c r="AF288" s="99"/>
    </row>
    <row r="289" spans="4:32" ht="15.75">
      <c r="D289" s="85"/>
      <c r="E289" s="85"/>
      <c r="F289" s="85"/>
      <c r="G289" s="85"/>
      <c r="H289" s="85"/>
      <c r="AF289" s="99"/>
    </row>
    <row r="290" spans="4:32" ht="15.75">
      <c r="D290" s="85"/>
      <c r="E290" s="85"/>
      <c r="F290" s="85"/>
      <c r="G290" s="85"/>
      <c r="H290" s="85"/>
      <c r="AF290" s="99"/>
    </row>
    <row r="291" spans="4:32" ht="15.75">
      <c r="D291" s="85"/>
      <c r="E291" s="85"/>
      <c r="F291" s="85"/>
      <c r="G291" s="85"/>
      <c r="H291" s="85"/>
      <c r="AF291" s="99"/>
    </row>
    <row r="292" spans="4:32" ht="15.75">
      <c r="D292" s="85"/>
      <c r="E292" s="85"/>
      <c r="F292" s="85"/>
      <c r="G292" s="85"/>
      <c r="H292" s="85"/>
      <c r="AF292" s="99"/>
    </row>
    <row r="293" spans="4:32" ht="15.75">
      <c r="D293" s="85"/>
      <c r="E293" s="85"/>
      <c r="F293" s="85"/>
      <c r="G293" s="85"/>
      <c r="H293" s="85"/>
      <c r="AF293" s="99"/>
    </row>
    <row r="294" spans="4:32" ht="15.75">
      <c r="D294" s="85"/>
      <c r="E294" s="85"/>
      <c r="F294" s="85"/>
      <c r="G294" s="85"/>
      <c r="H294" s="85"/>
      <c r="AF294" s="99"/>
    </row>
    <row r="295" spans="4:32" ht="15.75">
      <c r="D295" s="85"/>
      <c r="E295" s="85"/>
      <c r="F295" s="85"/>
      <c r="G295" s="85"/>
      <c r="H295" s="85"/>
      <c r="AF295" s="99"/>
    </row>
    <row r="296" spans="4:32" ht="15.75">
      <c r="D296" s="85"/>
      <c r="E296" s="85"/>
      <c r="F296" s="85"/>
      <c r="G296" s="85"/>
      <c r="H296" s="85"/>
      <c r="AF296" s="99"/>
    </row>
    <row r="297" spans="4:32" ht="15.75">
      <c r="D297" s="85"/>
      <c r="E297" s="85"/>
      <c r="F297" s="85"/>
      <c r="G297" s="85"/>
      <c r="H297" s="85"/>
      <c r="AF297" s="99"/>
    </row>
    <row r="298" spans="4:32" ht="15.75">
      <c r="D298" s="85"/>
      <c r="E298" s="85"/>
      <c r="F298" s="85"/>
      <c r="G298" s="85"/>
      <c r="H298" s="85"/>
      <c r="AF298" s="99"/>
    </row>
    <row r="299" spans="4:32" ht="15.75">
      <c r="D299" s="85"/>
      <c r="E299" s="85"/>
      <c r="F299" s="85"/>
      <c r="G299" s="85"/>
      <c r="H299" s="85"/>
      <c r="AF299" s="99"/>
    </row>
    <row r="300" spans="4:32" ht="15.75">
      <c r="D300" s="85"/>
      <c r="E300" s="85"/>
      <c r="F300" s="85"/>
      <c r="G300" s="85"/>
      <c r="H300" s="85"/>
      <c r="AF300" s="99"/>
    </row>
    <row r="301" spans="4:32" ht="15.75">
      <c r="D301" s="85"/>
      <c r="E301" s="85"/>
      <c r="F301" s="85"/>
      <c r="G301" s="85"/>
      <c r="H301" s="85"/>
      <c r="AF301" s="99"/>
    </row>
    <row r="302" spans="4:32" ht="15.75">
      <c r="D302" s="85"/>
      <c r="E302" s="85"/>
      <c r="F302" s="85"/>
      <c r="G302" s="85"/>
      <c r="H302" s="85"/>
      <c r="AF302" s="99"/>
    </row>
    <row r="303" spans="4:32" ht="15.75">
      <c r="D303" s="85"/>
      <c r="E303" s="85"/>
      <c r="F303" s="85"/>
      <c r="G303" s="85"/>
      <c r="H303" s="85"/>
      <c r="AF303" s="99"/>
    </row>
    <row r="304" spans="4:32" ht="15.75">
      <c r="D304" s="85"/>
      <c r="E304" s="85"/>
      <c r="F304" s="85"/>
      <c r="G304" s="85"/>
      <c r="H304" s="85"/>
      <c r="AF304" s="99"/>
    </row>
    <row r="305" spans="4:32" ht="15.75">
      <c r="D305" s="85"/>
      <c r="E305" s="85"/>
      <c r="F305" s="85"/>
      <c r="G305" s="85"/>
      <c r="H305" s="85"/>
      <c r="AF305" s="99"/>
    </row>
    <row r="306" spans="4:32" ht="15.75">
      <c r="D306" s="85"/>
      <c r="E306" s="85"/>
      <c r="F306" s="85"/>
      <c r="G306" s="85"/>
      <c r="H306" s="85"/>
      <c r="AF306" s="99"/>
    </row>
    <row r="307" spans="4:32" ht="15.75">
      <c r="D307" s="85"/>
      <c r="E307" s="85"/>
      <c r="F307" s="85"/>
      <c r="G307" s="85"/>
      <c r="H307" s="85"/>
      <c r="AF307" s="99"/>
    </row>
    <row r="308" spans="4:32" ht="15.75">
      <c r="D308" s="85"/>
      <c r="E308" s="85"/>
      <c r="F308" s="85"/>
      <c r="G308" s="85"/>
      <c r="H308" s="85"/>
      <c r="AF308" s="99"/>
    </row>
    <row r="309" spans="4:32" ht="15.75">
      <c r="D309" s="85"/>
      <c r="E309" s="85"/>
      <c r="F309" s="85"/>
      <c r="G309" s="85"/>
      <c r="H309" s="85"/>
      <c r="AF309" s="99"/>
    </row>
    <row r="310" spans="4:32" ht="15.75">
      <c r="D310" s="85"/>
      <c r="E310" s="85"/>
      <c r="F310" s="85"/>
      <c r="G310" s="85"/>
      <c r="H310" s="85"/>
      <c r="AF310" s="99"/>
    </row>
    <row r="311" spans="4:32" ht="15.75">
      <c r="D311" s="85"/>
      <c r="E311" s="85"/>
      <c r="F311" s="85"/>
      <c r="G311" s="85"/>
      <c r="H311" s="85"/>
      <c r="AF311" s="99"/>
    </row>
    <row r="312" spans="4:32" ht="15.75">
      <c r="D312" s="85"/>
      <c r="E312" s="85"/>
      <c r="F312" s="85"/>
      <c r="G312" s="85"/>
      <c r="H312" s="85"/>
      <c r="AF312" s="99"/>
    </row>
    <row r="313" spans="4:32" ht="15.75">
      <c r="D313" s="85"/>
      <c r="E313" s="85"/>
      <c r="F313" s="85"/>
      <c r="G313" s="85"/>
      <c r="H313" s="85"/>
      <c r="AF313" s="99"/>
    </row>
    <row r="314" spans="4:32" ht="15.75">
      <c r="D314" s="85"/>
      <c r="E314" s="85"/>
      <c r="F314" s="85"/>
      <c r="G314" s="85"/>
      <c r="H314" s="85"/>
      <c r="AF314" s="99"/>
    </row>
    <row r="315" spans="4:32" ht="15.75">
      <c r="D315" s="85"/>
      <c r="E315" s="85"/>
      <c r="F315" s="85"/>
      <c r="G315" s="85"/>
      <c r="H315" s="85"/>
      <c r="AF315" s="99"/>
    </row>
    <row r="316" spans="4:32" ht="15.75">
      <c r="D316" s="85"/>
      <c r="E316" s="85"/>
      <c r="F316" s="85"/>
      <c r="G316" s="85"/>
      <c r="H316" s="85"/>
      <c r="AF316" s="99"/>
    </row>
    <row r="317" spans="4:32" ht="15.75">
      <c r="D317" s="85"/>
      <c r="E317" s="85"/>
      <c r="F317" s="85"/>
      <c r="G317" s="85"/>
      <c r="H317" s="85"/>
      <c r="AF317" s="99"/>
    </row>
    <row r="318" spans="4:32" ht="15.75">
      <c r="D318" s="85"/>
      <c r="E318" s="85"/>
      <c r="F318" s="85"/>
      <c r="G318" s="85"/>
      <c r="H318" s="85"/>
      <c r="AF318" s="99"/>
    </row>
    <row r="319" spans="4:32" ht="15.75">
      <c r="D319" s="85"/>
      <c r="E319" s="85"/>
      <c r="F319" s="85"/>
      <c r="G319" s="85"/>
      <c r="H319" s="85"/>
      <c r="AF319" s="99"/>
    </row>
    <row r="320" spans="4:32" ht="15.75">
      <c r="D320" s="85"/>
      <c r="E320" s="85"/>
      <c r="F320" s="85"/>
      <c r="G320" s="85"/>
      <c r="H320" s="85"/>
      <c r="AF320" s="99"/>
    </row>
    <row r="321" spans="4:32" ht="15.75">
      <c r="D321" s="85"/>
      <c r="E321" s="85"/>
      <c r="F321" s="85"/>
      <c r="G321" s="85"/>
      <c r="H321" s="85"/>
      <c r="AF321" s="99"/>
    </row>
    <row r="322" spans="4:32" ht="15.75">
      <c r="D322" s="85"/>
      <c r="E322" s="85"/>
      <c r="F322" s="85"/>
      <c r="G322" s="85"/>
      <c r="H322" s="85"/>
      <c r="AF322" s="99"/>
    </row>
    <row r="323" spans="4:32" ht="15.75">
      <c r="D323" s="85"/>
      <c r="E323" s="85"/>
      <c r="F323" s="85"/>
      <c r="G323" s="85"/>
      <c r="H323" s="85"/>
      <c r="AF323" s="99"/>
    </row>
    <row r="324" spans="4:32" ht="15.75">
      <c r="D324" s="85"/>
      <c r="E324" s="85"/>
      <c r="F324" s="85"/>
      <c r="G324" s="85"/>
      <c r="H324" s="85"/>
      <c r="AF324" s="99"/>
    </row>
    <row r="325" spans="4:32" ht="15.75">
      <c r="D325" s="85"/>
      <c r="E325" s="85"/>
      <c r="F325" s="85"/>
      <c r="G325" s="85"/>
      <c r="H325" s="85"/>
      <c r="AF325" s="99"/>
    </row>
    <row r="326" spans="4:32" ht="15.75">
      <c r="D326" s="85"/>
      <c r="E326" s="85"/>
      <c r="F326" s="85"/>
      <c r="G326" s="85"/>
      <c r="H326" s="85"/>
      <c r="AF326" s="99"/>
    </row>
    <row r="327" spans="4:32" ht="15.75">
      <c r="D327" s="85"/>
      <c r="E327" s="85"/>
      <c r="F327" s="85"/>
      <c r="G327" s="85"/>
      <c r="H327" s="85"/>
      <c r="AF327" s="99"/>
    </row>
    <row r="328" spans="4:32" ht="15.75">
      <c r="D328" s="85"/>
      <c r="E328" s="85"/>
      <c r="F328" s="85"/>
      <c r="G328" s="85"/>
      <c r="H328" s="85"/>
      <c r="AF328" s="99"/>
    </row>
    <row r="329" spans="4:32" ht="15.75">
      <c r="D329" s="85"/>
      <c r="E329" s="85"/>
      <c r="F329" s="85"/>
      <c r="G329" s="85"/>
      <c r="H329" s="85"/>
      <c r="AF329" s="99"/>
    </row>
    <row r="330" spans="4:32" ht="15.75">
      <c r="D330" s="85"/>
      <c r="E330" s="85"/>
      <c r="F330" s="85"/>
      <c r="G330" s="85"/>
      <c r="H330" s="85"/>
      <c r="AF330" s="99"/>
    </row>
    <row r="331" spans="4:32" ht="15.75">
      <c r="D331" s="85"/>
      <c r="E331" s="85"/>
      <c r="F331" s="85"/>
      <c r="G331" s="85"/>
      <c r="H331" s="85"/>
      <c r="AF331" s="99"/>
    </row>
    <row r="332" spans="4:32" ht="15.75">
      <c r="D332" s="85"/>
      <c r="E332" s="85"/>
      <c r="F332" s="85"/>
      <c r="G332" s="85"/>
      <c r="H332" s="85"/>
      <c r="AF332" s="99"/>
    </row>
    <row r="333" spans="4:32" ht="15.75">
      <c r="D333" s="85"/>
      <c r="E333" s="85"/>
      <c r="F333" s="85"/>
      <c r="G333" s="85"/>
      <c r="H333" s="85"/>
      <c r="AF333" s="99"/>
    </row>
    <row r="334" spans="4:32" ht="15.75">
      <c r="D334" s="85"/>
      <c r="E334" s="85"/>
      <c r="F334" s="85"/>
      <c r="G334" s="85"/>
      <c r="H334" s="85"/>
      <c r="AF334" s="99"/>
    </row>
    <row r="335" spans="4:32" ht="15.75">
      <c r="D335" s="85"/>
      <c r="E335" s="85"/>
      <c r="F335" s="85"/>
      <c r="G335" s="85"/>
      <c r="H335" s="85"/>
      <c r="AF335" s="99"/>
    </row>
    <row r="336" spans="4:32" ht="15.75">
      <c r="D336" s="85"/>
      <c r="E336" s="85"/>
      <c r="F336" s="85"/>
      <c r="G336" s="85"/>
      <c r="H336" s="85"/>
      <c r="AF336" s="99"/>
    </row>
    <row r="337" spans="4:32" ht="15.75">
      <c r="D337" s="85"/>
      <c r="E337" s="85"/>
      <c r="F337" s="85"/>
      <c r="G337" s="85"/>
      <c r="H337" s="85"/>
      <c r="AF337" s="99"/>
    </row>
    <row r="338" spans="4:32" ht="15.75">
      <c r="D338" s="85"/>
      <c r="E338" s="85"/>
      <c r="F338" s="85"/>
      <c r="G338" s="85"/>
      <c r="H338" s="85"/>
      <c r="AF338" s="99"/>
    </row>
    <row r="339" spans="4:32" ht="15.75">
      <c r="D339" s="85"/>
      <c r="E339" s="85"/>
      <c r="F339" s="85"/>
      <c r="G339" s="85"/>
      <c r="H339" s="85"/>
      <c r="AF339" s="99"/>
    </row>
    <row r="340" spans="4:32" ht="15.75">
      <c r="D340" s="85"/>
      <c r="E340" s="85"/>
      <c r="F340" s="85"/>
      <c r="G340" s="85"/>
      <c r="H340" s="85"/>
      <c r="AF340" s="99"/>
    </row>
    <row r="341" spans="4:32" ht="15.75">
      <c r="D341" s="85"/>
      <c r="E341" s="85"/>
      <c r="F341" s="85"/>
      <c r="G341" s="85"/>
      <c r="H341" s="85"/>
      <c r="AF341" s="99"/>
    </row>
    <row r="342" spans="4:32" ht="15.75">
      <c r="D342" s="85"/>
      <c r="E342" s="85"/>
      <c r="F342" s="85"/>
      <c r="G342" s="85"/>
      <c r="H342" s="85"/>
      <c r="AF342" s="99"/>
    </row>
    <row r="343" spans="4:32" ht="15.75">
      <c r="D343" s="85"/>
      <c r="E343" s="85"/>
      <c r="F343" s="85"/>
      <c r="G343" s="85"/>
      <c r="H343" s="85"/>
      <c r="AF343" s="99"/>
    </row>
    <row r="344" spans="4:32" ht="15.75">
      <c r="D344" s="85"/>
      <c r="E344" s="85"/>
      <c r="F344" s="85"/>
      <c r="G344" s="85"/>
      <c r="H344" s="85"/>
      <c r="AF344" s="99"/>
    </row>
    <row r="345" spans="4:32" ht="15.75">
      <c r="D345" s="85"/>
      <c r="E345" s="85"/>
      <c r="F345" s="85"/>
      <c r="G345" s="85"/>
      <c r="H345" s="85"/>
      <c r="AF345" s="99"/>
    </row>
    <row r="346" spans="4:32" ht="15.75">
      <c r="D346" s="85"/>
      <c r="E346" s="85"/>
      <c r="F346" s="85"/>
      <c r="G346" s="85"/>
      <c r="H346" s="85"/>
      <c r="AF346" s="99"/>
    </row>
    <row r="347" spans="4:32" ht="15.75">
      <c r="D347" s="85"/>
      <c r="E347" s="85"/>
      <c r="F347" s="85"/>
      <c r="G347" s="85"/>
      <c r="H347" s="85"/>
      <c r="AF347" s="99"/>
    </row>
    <row r="348" spans="4:32" ht="15.75">
      <c r="D348" s="85"/>
      <c r="E348" s="85"/>
      <c r="F348" s="85"/>
      <c r="G348" s="85"/>
      <c r="H348" s="85"/>
      <c r="AF348" s="99"/>
    </row>
    <row r="349" spans="4:32" ht="15.75">
      <c r="D349" s="85"/>
      <c r="E349" s="85"/>
      <c r="F349" s="85"/>
      <c r="G349" s="85"/>
      <c r="H349" s="85"/>
      <c r="AF349" s="99"/>
    </row>
    <row r="350" spans="4:32" ht="15.75">
      <c r="D350" s="85"/>
      <c r="E350" s="85"/>
      <c r="F350" s="85"/>
      <c r="G350" s="85"/>
      <c r="H350" s="85"/>
      <c r="AF350" s="99"/>
    </row>
    <row r="351" spans="4:32" ht="15.75">
      <c r="D351" s="85"/>
      <c r="E351" s="85"/>
      <c r="F351" s="85"/>
      <c r="G351" s="85"/>
      <c r="H351" s="85"/>
      <c r="AF351" s="99"/>
    </row>
    <row r="352" spans="4:32" ht="15.75">
      <c r="D352" s="85"/>
      <c r="E352" s="85"/>
      <c r="F352" s="85"/>
      <c r="G352" s="85"/>
      <c r="H352" s="85"/>
      <c r="AF352" s="99"/>
    </row>
    <row r="353" spans="4:32" ht="15.75">
      <c r="D353" s="85"/>
      <c r="E353" s="85"/>
      <c r="F353" s="85"/>
      <c r="G353" s="85"/>
      <c r="H353" s="85"/>
      <c r="AF353" s="99"/>
    </row>
    <row r="354" spans="4:32" ht="15.75">
      <c r="D354" s="85"/>
      <c r="E354" s="85"/>
      <c r="F354" s="85"/>
      <c r="G354" s="85"/>
      <c r="H354" s="85"/>
      <c r="AF354" s="99"/>
    </row>
    <row r="355" spans="4:32" ht="15.75">
      <c r="D355" s="85"/>
      <c r="E355" s="85"/>
      <c r="F355" s="85"/>
      <c r="G355" s="85"/>
      <c r="H355" s="85"/>
      <c r="AF355" s="99"/>
    </row>
    <row r="356" spans="4:32" ht="15.75">
      <c r="D356" s="85"/>
      <c r="E356" s="85"/>
      <c r="F356" s="85"/>
      <c r="G356" s="85"/>
      <c r="H356" s="85"/>
      <c r="AF356" s="99"/>
    </row>
    <row r="357" spans="4:32" ht="15.75">
      <c r="D357" s="85"/>
      <c r="E357" s="85"/>
      <c r="F357" s="85"/>
      <c r="G357" s="85"/>
      <c r="H357" s="85"/>
      <c r="AF357" s="99"/>
    </row>
    <row r="358" spans="4:32" ht="15.75">
      <c r="D358" s="85"/>
      <c r="E358" s="85"/>
      <c r="F358" s="85"/>
      <c r="G358" s="85"/>
      <c r="H358" s="85"/>
      <c r="AF358" s="99"/>
    </row>
    <row r="359" spans="4:32" ht="15.75">
      <c r="D359" s="85"/>
      <c r="E359" s="85"/>
      <c r="F359" s="85"/>
      <c r="G359" s="85"/>
      <c r="H359" s="85"/>
      <c r="AF359" s="99"/>
    </row>
    <row r="360" spans="4:32" ht="15.75">
      <c r="D360" s="85"/>
      <c r="E360" s="85"/>
      <c r="F360" s="85"/>
      <c r="G360" s="85"/>
      <c r="H360" s="85"/>
      <c r="AF360" s="99"/>
    </row>
    <row r="361" spans="4:32" ht="15.75">
      <c r="D361" s="85"/>
      <c r="E361" s="85"/>
      <c r="F361" s="85"/>
      <c r="G361" s="85"/>
      <c r="H361" s="85"/>
      <c r="AF361" s="99"/>
    </row>
    <row r="362" spans="4:32" ht="15.75">
      <c r="D362" s="85"/>
      <c r="E362" s="85"/>
      <c r="F362" s="85"/>
      <c r="G362" s="85"/>
      <c r="H362" s="85"/>
      <c r="AF362" s="99"/>
    </row>
    <row r="363" spans="4:32" ht="15.75">
      <c r="D363" s="85"/>
      <c r="E363" s="85"/>
      <c r="F363" s="85"/>
      <c r="G363" s="85"/>
      <c r="H363" s="85"/>
      <c r="AF363" s="99"/>
    </row>
    <row r="364" spans="4:32" ht="15.75">
      <c r="D364" s="85"/>
      <c r="E364" s="85"/>
      <c r="F364" s="85"/>
      <c r="G364" s="85"/>
      <c r="H364" s="85"/>
      <c r="AF364" s="99"/>
    </row>
    <row r="365" spans="4:32" ht="15.75">
      <c r="D365" s="85"/>
      <c r="E365" s="85"/>
      <c r="F365" s="85"/>
      <c r="G365" s="85"/>
      <c r="H365" s="85"/>
      <c r="AF365" s="99"/>
    </row>
    <row r="366" spans="4:32" ht="15.75">
      <c r="D366" s="85"/>
      <c r="E366" s="85"/>
      <c r="F366" s="85"/>
      <c r="G366" s="85"/>
      <c r="H366" s="85"/>
      <c r="AF366" s="99"/>
    </row>
    <row r="367" spans="4:32" ht="15.75">
      <c r="D367" s="85"/>
      <c r="E367" s="85"/>
      <c r="F367" s="85"/>
      <c r="G367" s="85"/>
      <c r="H367" s="85"/>
      <c r="AF367" s="99"/>
    </row>
    <row r="368" spans="4:32" ht="15.75">
      <c r="D368" s="85"/>
      <c r="E368" s="85"/>
      <c r="F368" s="85"/>
      <c r="G368" s="85"/>
      <c r="H368" s="85"/>
      <c r="AF368" s="99"/>
    </row>
    <row r="369" spans="4:32" ht="15.75">
      <c r="D369" s="85"/>
      <c r="E369" s="85"/>
      <c r="F369" s="85"/>
      <c r="G369" s="85"/>
      <c r="H369" s="85"/>
      <c r="AF369" s="99"/>
    </row>
    <row r="370" spans="4:32" ht="15.75">
      <c r="D370" s="85"/>
      <c r="E370" s="85"/>
      <c r="F370" s="85"/>
      <c r="G370" s="85"/>
      <c r="H370" s="85"/>
      <c r="AF370" s="99"/>
    </row>
    <row r="371" spans="4:32" ht="15.75">
      <c r="D371" s="85"/>
      <c r="E371" s="85"/>
      <c r="F371" s="85"/>
      <c r="G371" s="85"/>
      <c r="H371" s="85"/>
      <c r="AF371" s="99"/>
    </row>
    <row r="372" spans="4:32" ht="15.75">
      <c r="D372" s="85"/>
      <c r="E372" s="85"/>
      <c r="F372" s="85"/>
      <c r="G372" s="85"/>
      <c r="H372" s="85"/>
      <c r="AF372" s="99"/>
    </row>
    <row r="373" spans="4:32" ht="15.75">
      <c r="D373" s="85"/>
      <c r="E373" s="85"/>
      <c r="F373" s="85"/>
      <c r="G373" s="85"/>
      <c r="H373" s="85"/>
      <c r="AF373" s="99"/>
    </row>
    <row r="374" spans="4:32" ht="15.75">
      <c r="D374" s="85"/>
      <c r="E374" s="85"/>
      <c r="F374" s="85"/>
      <c r="G374" s="85"/>
      <c r="H374" s="85"/>
      <c r="AF374" s="99"/>
    </row>
    <row r="375" spans="4:32" ht="15.75">
      <c r="D375" s="85"/>
      <c r="E375" s="85"/>
      <c r="F375" s="85"/>
      <c r="G375" s="85"/>
      <c r="H375" s="85"/>
      <c r="AF375" s="99"/>
    </row>
    <row r="376" spans="4:32" ht="15.75">
      <c r="D376" s="85"/>
      <c r="E376" s="85"/>
      <c r="F376" s="85"/>
      <c r="G376" s="85"/>
      <c r="H376" s="85"/>
      <c r="AF376" s="99"/>
    </row>
    <row r="377" spans="4:32" ht="15.75">
      <c r="D377" s="85"/>
      <c r="E377" s="85"/>
      <c r="F377" s="85"/>
      <c r="G377" s="85"/>
      <c r="H377" s="85"/>
      <c r="AF377" s="99"/>
    </row>
    <row r="378" spans="4:32" ht="15.75">
      <c r="D378" s="85"/>
      <c r="E378" s="85"/>
      <c r="F378" s="85"/>
      <c r="G378" s="85"/>
      <c r="H378" s="85"/>
      <c r="AF378" s="99"/>
    </row>
    <row r="379" spans="4:32" ht="15.75">
      <c r="D379" s="85"/>
      <c r="E379" s="85"/>
      <c r="F379" s="85"/>
      <c r="G379" s="85"/>
      <c r="H379" s="85"/>
      <c r="AF379" s="99"/>
    </row>
    <row r="380" spans="4:32" ht="15.75">
      <c r="D380" s="85"/>
      <c r="E380" s="85"/>
      <c r="F380" s="85"/>
      <c r="G380" s="85"/>
      <c r="H380" s="85"/>
      <c r="AF380" s="99"/>
    </row>
    <row r="381" spans="4:32" ht="15.75">
      <c r="D381" s="85"/>
      <c r="E381" s="85"/>
      <c r="F381" s="85"/>
      <c r="G381" s="85"/>
      <c r="H381" s="85"/>
      <c r="AF381" s="99"/>
    </row>
    <row r="382" spans="4:32" ht="15.75">
      <c r="D382" s="85"/>
      <c r="E382" s="85"/>
      <c r="F382" s="85"/>
      <c r="G382" s="85"/>
      <c r="H382" s="85"/>
      <c r="AF382" s="99"/>
    </row>
    <row r="383" spans="4:32" ht="15.75">
      <c r="D383" s="85"/>
      <c r="E383" s="85"/>
      <c r="F383" s="85"/>
      <c r="G383" s="85"/>
      <c r="H383" s="85"/>
      <c r="AF383" s="99"/>
    </row>
    <row r="384" spans="4:32" ht="15.75">
      <c r="D384" s="85"/>
      <c r="E384" s="85"/>
      <c r="F384" s="85"/>
      <c r="G384" s="85"/>
      <c r="H384" s="85"/>
      <c r="AF384" s="99"/>
    </row>
    <row r="385" spans="4:32" ht="15.75">
      <c r="D385" s="85"/>
      <c r="E385" s="85"/>
      <c r="F385" s="85"/>
      <c r="G385" s="85"/>
      <c r="H385" s="85"/>
      <c r="AF385" s="99"/>
    </row>
    <row r="386" spans="4:32" ht="15.75">
      <c r="D386" s="85"/>
      <c r="E386" s="85"/>
      <c r="F386" s="85"/>
      <c r="G386" s="85"/>
      <c r="H386" s="85"/>
      <c r="AF386" s="99"/>
    </row>
    <row r="387" spans="4:32" ht="15.75">
      <c r="D387" s="85"/>
      <c r="E387" s="85"/>
      <c r="F387" s="85"/>
      <c r="G387" s="85"/>
      <c r="H387" s="85"/>
      <c r="AF387" s="99"/>
    </row>
    <row r="388" spans="4:32" ht="15.75">
      <c r="D388" s="85"/>
      <c r="E388" s="85"/>
      <c r="F388" s="85"/>
      <c r="G388" s="85"/>
      <c r="H388" s="85"/>
      <c r="AF388" s="99"/>
    </row>
    <row r="389" spans="4:32" ht="15.75">
      <c r="D389" s="85"/>
      <c r="E389" s="85"/>
      <c r="F389" s="85"/>
      <c r="G389" s="85"/>
      <c r="H389" s="85"/>
      <c r="AF389" s="99"/>
    </row>
    <row r="390" spans="4:32" ht="15.75">
      <c r="D390" s="85"/>
      <c r="E390" s="85"/>
      <c r="F390" s="85"/>
      <c r="G390" s="85"/>
      <c r="H390" s="85"/>
      <c r="AF390" s="99"/>
    </row>
    <row r="391" spans="4:32" ht="15.75">
      <c r="D391" s="85"/>
      <c r="E391" s="85"/>
      <c r="F391" s="85"/>
      <c r="G391" s="85"/>
      <c r="H391" s="85"/>
      <c r="AF391" s="99"/>
    </row>
    <row r="392" spans="4:32" ht="15.75">
      <c r="D392" s="85"/>
      <c r="E392" s="85"/>
      <c r="F392" s="85"/>
      <c r="G392" s="85"/>
      <c r="H392" s="85"/>
      <c r="AF392" s="99"/>
    </row>
    <row r="393" spans="4:32" ht="15.75">
      <c r="D393" s="85"/>
      <c r="E393" s="85"/>
      <c r="F393" s="85"/>
      <c r="G393" s="85"/>
      <c r="H393" s="85"/>
      <c r="AF393" s="99"/>
    </row>
    <row r="394" spans="4:32" ht="15.75">
      <c r="D394" s="85"/>
      <c r="E394" s="85"/>
      <c r="F394" s="85"/>
      <c r="G394" s="85"/>
      <c r="H394" s="85"/>
      <c r="AF394" s="99"/>
    </row>
    <row r="395" spans="4:32" ht="15.75">
      <c r="D395" s="85"/>
      <c r="E395" s="85"/>
      <c r="F395" s="85"/>
      <c r="G395" s="85"/>
      <c r="H395" s="85"/>
      <c r="AF395" s="99"/>
    </row>
    <row r="396" spans="4:32" ht="15.75">
      <c r="D396" s="85"/>
      <c r="E396" s="85"/>
      <c r="F396" s="85"/>
      <c r="G396" s="85"/>
      <c r="H396" s="85"/>
      <c r="AF396" s="99"/>
    </row>
    <row r="397" spans="4:32" ht="15.75">
      <c r="D397" s="85"/>
      <c r="E397" s="85"/>
      <c r="F397" s="85"/>
      <c r="G397" s="85"/>
      <c r="H397" s="85"/>
      <c r="AF397" s="99"/>
    </row>
    <row r="398" spans="4:32" ht="15.75">
      <c r="D398" s="85"/>
      <c r="E398" s="85"/>
      <c r="F398" s="85"/>
      <c r="G398" s="85"/>
      <c r="H398" s="85"/>
      <c r="AF398" s="99"/>
    </row>
    <row r="399" spans="4:32" ht="15.75">
      <c r="D399" s="85"/>
      <c r="E399" s="85"/>
      <c r="F399" s="85"/>
      <c r="G399" s="85"/>
      <c r="H399" s="85"/>
      <c r="AF399" s="99"/>
    </row>
    <row r="400" spans="4:32" ht="15.75">
      <c r="D400" s="85"/>
      <c r="E400" s="85"/>
      <c r="F400" s="85"/>
      <c r="G400" s="85"/>
      <c r="H400" s="85"/>
      <c r="AF400" s="99"/>
    </row>
    <row r="401" spans="4:32" ht="15.75">
      <c r="D401" s="85"/>
      <c r="E401" s="85"/>
      <c r="F401" s="85"/>
      <c r="G401" s="85"/>
      <c r="H401" s="85"/>
      <c r="AF401" s="99"/>
    </row>
    <row r="402" spans="4:32" ht="15.75">
      <c r="D402" s="85"/>
      <c r="E402" s="85"/>
      <c r="F402" s="85"/>
      <c r="G402" s="85"/>
      <c r="H402" s="85"/>
      <c r="AF402" s="99"/>
    </row>
    <row r="403" spans="4:32" ht="15.75">
      <c r="D403" s="85"/>
      <c r="E403" s="85"/>
      <c r="F403" s="85"/>
      <c r="G403" s="85"/>
      <c r="H403" s="85"/>
      <c r="AF403" s="99"/>
    </row>
    <row r="404" spans="4:32" ht="15.75">
      <c r="D404" s="85"/>
      <c r="E404" s="85"/>
      <c r="F404" s="85"/>
      <c r="G404" s="85"/>
      <c r="H404" s="85"/>
      <c r="AF404" s="99"/>
    </row>
    <row r="405" spans="4:32" ht="15.75">
      <c r="D405" s="85"/>
      <c r="E405" s="85"/>
      <c r="F405" s="85"/>
      <c r="G405" s="85"/>
      <c r="H405" s="85"/>
      <c r="AF405" s="99"/>
    </row>
    <row r="406" spans="4:32" ht="15.75">
      <c r="D406" s="85"/>
      <c r="E406" s="85"/>
      <c r="F406" s="85"/>
      <c r="G406" s="85"/>
      <c r="H406" s="85"/>
      <c r="AF406" s="99"/>
    </row>
    <row r="407" spans="4:32" ht="15.75">
      <c r="D407" s="85"/>
      <c r="E407" s="85"/>
      <c r="F407" s="85"/>
      <c r="G407" s="85"/>
      <c r="H407" s="85"/>
      <c r="AF407" s="99"/>
    </row>
    <row r="408" spans="4:32" ht="15.75">
      <c r="D408" s="85"/>
      <c r="E408" s="85"/>
      <c r="F408" s="85"/>
      <c r="G408" s="85"/>
      <c r="H408" s="85"/>
      <c r="AF408" s="99"/>
    </row>
    <row r="409" spans="4:32" ht="15.75">
      <c r="D409" s="85"/>
      <c r="E409" s="85"/>
      <c r="F409" s="85"/>
      <c r="G409" s="85"/>
      <c r="H409" s="85"/>
      <c r="AF409" s="99"/>
    </row>
    <row r="410" spans="4:32" ht="15.75">
      <c r="D410" s="85"/>
      <c r="E410" s="85"/>
      <c r="F410" s="85"/>
      <c r="G410" s="85"/>
      <c r="H410" s="85"/>
      <c r="AF410" s="99"/>
    </row>
    <row r="411" spans="4:32" ht="15.75">
      <c r="D411" s="85"/>
      <c r="E411" s="85"/>
      <c r="F411" s="85"/>
      <c r="G411" s="85"/>
      <c r="H411" s="85"/>
      <c r="AF411" s="99"/>
    </row>
    <row r="412" spans="4:32" ht="15.75">
      <c r="D412" s="85"/>
      <c r="E412" s="85"/>
      <c r="F412" s="85"/>
      <c r="G412" s="85"/>
      <c r="H412" s="85"/>
      <c r="AF412" s="99"/>
    </row>
    <row r="413" spans="4:32" ht="15.75">
      <c r="D413" s="85"/>
      <c r="E413" s="85"/>
      <c r="F413" s="85"/>
      <c r="G413" s="85"/>
      <c r="H413" s="85"/>
      <c r="AF413" s="99"/>
    </row>
    <row r="414" spans="4:32" ht="15.75">
      <c r="D414" s="85"/>
      <c r="E414" s="85"/>
      <c r="F414" s="85"/>
      <c r="G414" s="85"/>
      <c r="H414" s="85"/>
      <c r="AF414" s="99"/>
    </row>
    <row r="415" spans="4:32" ht="15.75">
      <c r="D415" s="85"/>
      <c r="E415" s="85"/>
      <c r="F415" s="85"/>
      <c r="G415" s="85"/>
      <c r="H415" s="85"/>
      <c r="AF415" s="99"/>
    </row>
    <row r="416" spans="4:32" ht="15.75">
      <c r="D416" s="85"/>
      <c r="E416" s="85"/>
      <c r="F416" s="85"/>
      <c r="G416" s="85"/>
      <c r="H416" s="85"/>
      <c r="AF416" s="99"/>
    </row>
    <row r="417" spans="4:32" ht="15.75">
      <c r="D417" s="85"/>
      <c r="E417" s="85"/>
      <c r="F417" s="85"/>
      <c r="G417" s="85"/>
      <c r="H417" s="85"/>
      <c r="AF417" s="99"/>
    </row>
    <row r="418" spans="4:32" ht="15.75">
      <c r="D418" s="85"/>
      <c r="E418" s="85"/>
      <c r="F418" s="85"/>
      <c r="G418" s="85"/>
      <c r="H418" s="85"/>
      <c r="AF418" s="99"/>
    </row>
    <row r="419" spans="4:32" ht="15.75">
      <c r="D419" s="85"/>
      <c r="E419" s="85"/>
      <c r="F419" s="85"/>
      <c r="G419" s="85"/>
      <c r="H419" s="85"/>
      <c r="AF419" s="99"/>
    </row>
    <row r="420" spans="4:32" ht="15.75">
      <c r="D420" s="85"/>
      <c r="E420" s="85"/>
      <c r="F420" s="85"/>
      <c r="G420" s="85"/>
      <c r="H420" s="85"/>
      <c r="AF420" s="99"/>
    </row>
    <row r="421" spans="4:32" ht="15.75">
      <c r="D421" s="85"/>
      <c r="E421" s="85"/>
      <c r="F421" s="85"/>
      <c r="G421" s="85"/>
      <c r="H421" s="85"/>
      <c r="AF421" s="99"/>
    </row>
    <row r="422" spans="4:32" ht="15.75">
      <c r="D422" s="85"/>
      <c r="E422" s="85"/>
      <c r="F422" s="85"/>
      <c r="G422" s="85"/>
      <c r="H422" s="85"/>
      <c r="AF422" s="99"/>
    </row>
    <row r="423" spans="4:32" ht="15.75">
      <c r="D423" s="85"/>
      <c r="E423" s="85"/>
      <c r="F423" s="85"/>
      <c r="G423" s="85"/>
      <c r="H423" s="85"/>
      <c r="AF423" s="99"/>
    </row>
    <row r="424" spans="4:32" ht="15.75">
      <c r="D424" s="85"/>
      <c r="E424" s="85"/>
      <c r="F424" s="85"/>
      <c r="G424" s="85"/>
      <c r="H424" s="85"/>
      <c r="AF424" s="99"/>
    </row>
    <row r="425" spans="4:32" ht="15.75">
      <c r="D425" s="85"/>
      <c r="E425" s="85"/>
      <c r="F425" s="85"/>
      <c r="G425" s="85"/>
      <c r="H425" s="85"/>
      <c r="AF425" s="99"/>
    </row>
    <row r="426" spans="4:32" ht="15.75">
      <c r="D426" s="85"/>
      <c r="E426" s="85"/>
      <c r="F426" s="85"/>
      <c r="G426" s="85"/>
      <c r="H426" s="85"/>
      <c r="AF426" s="99"/>
    </row>
    <row r="427" spans="4:32" ht="15.75">
      <c r="D427" s="85"/>
      <c r="E427" s="85"/>
      <c r="F427" s="85"/>
      <c r="G427" s="85"/>
      <c r="H427" s="85"/>
      <c r="AF427" s="99"/>
    </row>
    <row r="428" spans="4:32" ht="15.75">
      <c r="D428" s="85"/>
      <c r="E428" s="85"/>
      <c r="F428" s="85"/>
      <c r="G428" s="85"/>
      <c r="H428" s="85"/>
      <c r="AF428" s="99"/>
    </row>
    <row r="429" spans="4:32" ht="15.75">
      <c r="D429" s="85"/>
      <c r="E429" s="85"/>
      <c r="F429" s="85"/>
      <c r="G429" s="85"/>
      <c r="H429" s="85"/>
      <c r="AF429" s="99"/>
    </row>
    <row r="430" spans="4:32" ht="15.75">
      <c r="D430" s="85"/>
      <c r="E430" s="85"/>
      <c r="F430" s="85"/>
      <c r="G430" s="85"/>
      <c r="H430" s="85"/>
      <c r="AF430" s="99"/>
    </row>
    <row r="431" spans="4:32" ht="15.75">
      <c r="D431" s="85"/>
      <c r="E431" s="85"/>
      <c r="F431" s="85"/>
      <c r="G431" s="85"/>
      <c r="H431" s="85"/>
      <c r="AF431" s="99"/>
    </row>
    <row r="432" spans="4:32" ht="15.75">
      <c r="D432" s="85"/>
      <c r="E432" s="85"/>
      <c r="F432" s="85"/>
      <c r="G432" s="85"/>
      <c r="H432" s="85"/>
      <c r="AF432" s="99"/>
    </row>
    <row r="433" spans="4:32" ht="15.75">
      <c r="D433" s="85"/>
      <c r="E433" s="85"/>
      <c r="F433" s="85"/>
      <c r="G433" s="85"/>
      <c r="H433" s="85"/>
      <c r="AF433" s="99"/>
    </row>
    <row r="434" spans="4:32" ht="15.75">
      <c r="D434" s="85"/>
      <c r="E434" s="85"/>
      <c r="F434" s="85"/>
      <c r="G434" s="85"/>
      <c r="H434" s="85"/>
      <c r="AF434" s="99"/>
    </row>
    <row r="435" spans="4:32" ht="15.75">
      <c r="D435" s="85"/>
      <c r="E435" s="85"/>
      <c r="F435" s="85"/>
      <c r="G435" s="85"/>
      <c r="H435" s="85"/>
      <c r="AF435" s="99"/>
    </row>
    <row r="436" spans="4:32" ht="15.75">
      <c r="D436" s="85"/>
      <c r="E436" s="85"/>
      <c r="F436" s="85"/>
      <c r="G436" s="85"/>
      <c r="H436" s="85"/>
      <c r="AF436" s="99"/>
    </row>
    <row r="437" spans="4:32" ht="15.75">
      <c r="D437" s="85"/>
      <c r="E437" s="85"/>
      <c r="F437" s="85"/>
      <c r="G437" s="85"/>
      <c r="H437" s="85"/>
      <c r="AF437" s="99"/>
    </row>
    <row r="438" spans="4:32" ht="15.75">
      <c r="D438" s="85"/>
      <c r="E438" s="85"/>
      <c r="F438" s="85"/>
      <c r="G438" s="85"/>
      <c r="H438" s="85"/>
      <c r="AF438" s="99"/>
    </row>
    <row r="439" spans="4:32" ht="15.75">
      <c r="D439" s="85"/>
      <c r="E439" s="85"/>
      <c r="F439" s="85"/>
      <c r="G439" s="85"/>
      <c r="H439" s="85"/>
      <c r="AF439" s="99"/>
    </row>
    <row r="440" spans="4:32" ht="15.75">
      <c r="D440" s="85"/>
      <c r="E440" s="85"/>
      <c r="F440" s="85"/>
      <c r="G440" s="85"/>
      <c r="H440" s="85"/>
      <c r="AF440" s="99"/>
    </row>
    <row r="441" spans="4:32" ht="15.75">
      <c r="D441" s="85"/>
      <c r="E441" s="85"/>
      <c r="F441" s="85"/>
      <c r="G441" s="85"/>
      <c r="H441" s="85"/>
      <c r="AF441" s="99"/>
    </row>
    <row r="442" spans="4:32" ht="15.75">
      <c r="D442" s="85"/>
      <c r="E442" s="85"/>
      <c r="F442" s="85"/>
      <c r="G442" s="85"/>
      <c r="H442" s="85"/>
      <c r="AF442" s="99"/>
    </row>
    <row r="443" spans="4:32" ht="15.75">
      <c r="D443" s="85"/>
      <c r="E443" s="85"/>
      <c r="F443" s="85"/>
      <c r="G443" s="85"/>
      <c r="H443" s="85"/>
      <c r="AF443" s="99"/>
    </row>
    <row r="444" spans="4:32" ht="15.75">
      <c r="D444" s="85"/>
      <c r="E444" s="85"/>
      <c r="F444" s="85"/>
      <c r="G444" s="85"/>
      <c r="H444" s="85"/>
      <c r="AF444" s="99"/>
    </row>
    <row r="445" spans="4:32" ht="15.75">
      <c r="D445" s="85"/>
      <c r="E445" s="85"/>
      <c r="F445" s="85"/>
      <c r="G445" s="85"/>
      <c r="H445" s="85"/>
      <c r="AF445" s="99"/>
    </row>
    <row r="446" spans="4:32" ht="15.75">
      <c r="D446" s="85"/>
      <c r="E446" s="85"/>
      <c r="F446" s="85"/>
      <c r="G446" s="85"/>
      <c r="H446" s="85"/>
      <c r="AF446" s="99"/>
    </row>
    <row r="447" spans="4:32" ht="15.75">
      <c r="D447" s="85"/>
      <c r="E447" s="85"/>
      <c r="F447" s="85"/>
      <c r="G447" s="85"/>
      <c r="H447" s="85"/>
      <c r="AF447" s="99"/>
    </row>
    <row r="448" spans="4:32" ht="15.75">
      <c r="D448" s="85"/>
      <c r="E448" s="85"/>
      <c r="F448" s="85"/>
      <c r="G448" s="85"/>
      <c r="H448" s="85"/>
      <c r="AF448" s="99"/>
    </row>
    <row r="449" spans="4:32" ht="15.75">
      <c r="D449" s="85"/>
      <c r="E449" s="85"/>
      <c r="F449" s="85"/>
      <c r="G449" s="85"/>
      <c r="H449" s="85"/>
      <c r="AF449" s="99"/>
    </row>
    <row r="450" spans="4:32" ht="15.75">
      <c r="D450" s="85"/>
      <c r="E450" s="85"/>
      <c r="F450" s="85"/>
      <c r="G450" s="85"/>
      <c r="H450" s="85"/>
      <c r="AF450" s="99"/>
    </row>
    <row r="451" spans="4:32" ht="15.75">
      <c r="D451" s="85"/>
      <c r="E451" s="85"/>
      <c r="F451" s="85"/>
      <c r="G451" s="85"/>
      <c r="H451" s="85"/>
      <c r="AF451" s="99"/>
    </row>
    <row r="452" spans="4:32" ht="15.75">
      <c r="D452" s="85"/>
      <c r="E452" s="85"/>
      <c r="F452" s="85"/>
      <c r="G452" s="85"/>
      <c r="H452" s="85"/>
      <c r="AF452" s="99"/>
    </row>
    <row r="453" spans="4:32" ht="15.75">
      <c r="D453" s="85"/>
      <c r="E453" s="85"/>
      <c r="F453" s="85"/>
      <c r="G453" s="85"/>
      <c r="H453" s="85"/>
      <c r="AF453" s="99"/>
    </row>
    <row r="454" spans="4:32" ht="15.75">
      <c r="D454" s="85"/>
      <c r="E454" s="85"/>
      <c r="F454" s="85"/>
      <c r="G454" s="85"/>
      <c r="H454" s="85"/>
      <c r="AF454" s="99"/>
    </row>
    <row r="455" spans="4:32" ht="15.75">
      <c r="D455" s="85"/>
      <c r="E455" s="85"/>
      <c r="F455" s="85"/>
      <c r="G455" s="85"/>
      <c r="H455" s="85"/>
      <c r="AF455" s="99"/>
    </row>
    <row r="456" spans="4:32" ht="15.75">
      <c r="D456" s="85"/>
      <c r="E456" s="85"/>
      <c r="F456" s="85"/>
      <c r="G456" s="85"/>
      <c r="H456" s="85"/>
      <c r="AF456" s="99"/>
    </row>
    <row r="457" spans="4:32" ht="15.75">
      <c r="D457" s="85"/>
      <c r="E457" s="85"/>
      <c r="F457" s="85"/>
      <c r="G457" s="85"/>
      <c r="H457" s="85"/>
      <c r="AF457" s="99"/>
    </row>
    <row r="458" spans="4:32" ht="15.75">
      <c r="D458" s="85"/>
      <c r="E458" s="85"/>
      <c r="F458" s="85"/>
      <c r="G458" s="85"/>
      <c r="H458" s="85"/>
      <c r="AF458" s="99"/>
    </row>
    <row r="459" spans="4:32" ht="15.75">
      <c r="D459" s="85"/>
      <c r="E459" s="85"/>
      <c r="F459" s="85"/>
      <c r="G459" s="85"/>
      <c r="H459" s="85"/>
      <c r="AF459" s="99"/>
    </row>
    <row r="460" spans="4:32" ht="15.75">
      <c r="D460" s="85"/>
      <c r="E460" s="85"/>
      <c r="F460" s="85"/>
      <c r="G460" s="85"/>
      <c r="H460" s="85"/>
      <c r="AF460" s="99"/>
    </row>
    <row r="461" spans="4:32" ht="15.75">
      <c r="D461" s="85"/>
      <c r="E461" s="85"/>
      <c r="F461" s="85"/>
      <c r="G461" s="85"/>
      <c r="H461" s="85"/>
      <c r="AF461" s="99"/>
    </row>
    <row r="462" spans="4:32" ht="15.75">
      <c r="D462" s="85"/>
      <c r="E462" s="85"/>
      <c r="F462" s="85"/>
      <c r="G462" s="85"/>
      <c r="H462" s="85"/>
      <c r="AF462" s="99"/>
    </row>
    <row r="463" spans="4:32" ht="15.75">
      <c r="D463" s="85"/>
      <c r="E463" s="85"/>
      <c r="F463" s="85"/>
      <c r="G463" s="85"/>
      <c r="H463" s="85"/>
      <c r="AF463" s="99"/>
    </row>
    <row r="464" spans="4:32" ht="15.75">
      <c r="D464" s="85"/>
      <c r="E464" s="85"/>
      <c r="F464" s="85"/>
      <c r="G464" s="85"/>
      <c r="H464" s="85"/>
      <c r="AF464" s="99"/>
    </row>
    <row r="465" spans="4:32" ht="15.75">
      <c r="D465" s="85"/>
      <c r="E465" s="85"/>
      <c r="F465" s="85"/>
      <c r="G465" s="85"/>
      <c r="H465" s="85"/>
      <c r="AF465" s="99"/>
    </row>
    <row r="466" spans="4:32" ht="15.75">
      <c r="D466" s="85"/>
      <c r="E466" s="85"/>
      <c r="F466" s="85"/>
      <c r="G466" s="85"/>
      <c r="H466" s="85"/>
      <c r="AF466" s="99"/>
    </row>
    <row r="467" spans="4:32" ht="15.75">
      <c r="D467" s="85"/>
      <c r="E467" s="85"/>
      <c r="F467" s="85"/>
      <c r="G467" s="85"/>
      <c r="H467" s="85"/>
      <c r="AF467" s="99"/>
    </row>
    <row r="468" spans="4:32" ht="15.75">
      <c r="D468" s="85"/>
      <c r="E468" s="85"/>
      <c r="F468" s="85"/>
      <c r="G468" s="85"/>
      <c r="H468" s="85"/>
      <c r="AF468" s="99"/>
    </row>
    <row r="469" spans="4:32" ht="15.75">
      <c r="D469" s="85"/>
      <c r="E469" s="85"/>
      <c r="F469" s="85"/>
      <c r="G469" s="85"/>
      <c r="H469" s="85"/>
      <c r="AF469" s="99"/>
    </row>
    <row r="470" spans="4:32" ht="15.75">
      <c r="D470" s="85"/>
      <c r="E470" s="85"/>
      <c r="F470" s="85"/>
      <c r="G470" s="85"/>
      <c r="H470" s="85"/>
      <c r="AF470" s="99"/>
    </row>
    <row r="471" spans="4:32" ht="15.75">
      <c r="D471" s="85"/>
      <c r="E471" s="85"/>
      <c r="F471" s="85"/>
      <c r="G471" s="85"/>
      <c r="H471" s="85"/>
      <c r="AF471" s="99"/>
    </row>
    <row r="472" spans="4:32" ht="15.75">
      <c r="D472" s="85"/>
      <c r="E472" s="85"/>
      <c r="F472" s="85"/>
      <c r="G472" s="85"/>
      <c r="H472" s="85"/>
      <c r="AF472" s="99"/>
    </row>
    <row r="473" spans="4:32" ht="15.75">
      <c r="D473" s="85"/>
      <c r="E473" s="85"/>
      <c r="F473" s="85"/>
      <c r="G473" s="85"/>
      <c r="H473" s="85"/>
      <c r="AF473" s="99"/>
    </row>
    <row r="474" spans="4:32" ht="15.75">
      <c r="D474" s="85"/>
      <c r="E474" s="85"/>
      <c r="F474" s="85"/>
      <c r="G474" s="85"/>
      <c r="H474" s="85"/>
      <c r="AF474" s="99"/>
    </row>
    <row r="475" spans="4:32" ht="15.75">
      <c r="D475" s="85"/>
      <c r="E475" s="85"/>
      <c r="F475" s="85"/>
      <c r="G475" s="85"/>
      <c r="H475" s="85"/>
      <c r="AF475" s="99"/>
    </row>
    <row r="476" spans="4:32" ht="15.75">
      <c r="D476" s="85"/>
      <c r="E476" s="85"/>
      <c r="F476" s="85"/>
      <c r="G476" s="85"/>
      <c r="H476" s="85"/>
      <c r="AF476" s="99"/>
    </row>
    <row r="477" spans="4:32" ht="15.75">
      <c r="D477" s="85"/>
      <c r="E477" s="85"/>
      <c r="F477" s="85"/>
      <c r="G477" s="85"/>
      <c r="H477" s="85"/>
      <c r="AF477" s="99"/>
    </row>
    <row r="478" spans="4:32" ht="15.75">
      <c r="D478" s="85"/>
      <c r="E478" s="85"/>
      <c r="F478" s="85"/>
      <c r="G478" s="85"/>
      <c r="H478" s="85"/>
      <c r="AF478" s="99"/>
    </row>
    <row r="479" spans="4:32" ht="15.75">
      <c r="D479" s="85"/>
      <c r="E479" s="85"/>
      <c r="F479" s="85"/>
      <c r="G479" s="85"/>
      <c r="H479" s="85"/>
      <c r="AF479" s="99"/>
    </row>
    <row r="480" spans="4:32" ht="15.75">
      <c r="D480" s="85"/>
      <c r="E480" s="85"/>
      <c r="F480" s="85"/>
      <c r="G480" s="85"/>
      <c r="H480" s="85"/>
      <c r="AF480" s="99"/>
    </row>
    <row r="481" spans="4:32" ht="15.75">
      <c r="D481" s="85"/>
      <c r="E481" s="85"/>
      <c r="F481" s="85"/>
      <c r="G481" s="85"/>
      <c r="H481" s="85"/>
      <c r="AF481" s="99"/>
    </row>
    <row r="482" spans="4:32" ht="15.75">
      <c r="D482" s="85"/>
      <c r="E482" s="85"/>
      <c r="F482" s="85"/>
      <c r="G482" s="85"/>
      <c r="H482" s="85"/>
      <c r="AF482" s="99"/>
    </row>
    <row r="483" spans="4:32" ht="15.75">
      <c r="D483" s="85"/>
      <c r="E483" s="85"/>
      <c r="F483" s="85"/>
      <c r="G483" s="85"/>
      <c r="H483" s="85"/>
      <c r="AF483" s="99"/>
    </row>
    <row r="484" spans="4:32" ht="15.75">
      <c r="D484" s="85"/>
      <c r="E484" s="85"/>
      <c r="F484" s="85"/>
      <c r="G484" s="85"/>
      <c r="H484" s="85"/>
      <c r="AF484" s="99"/>
    </row>
    <row r="485" spans="4:32" ht="15.75">
      <c r="D485" s="85"/>
      <c r="E485" s="85"/>
      <c r="F485" s="85"/>
      <c r="G485" s="85"/>
      <c r="H485" s="85"/>
      <c r="AF485" s="99"/>
    </row>
    <row r="486" spans="4:32" ht="15.75">
      <c r="D486" s="85"/>
      <c r="E486" s="85"/>
      <c r="F486" s="85"/>
      <c r="G486" s="85"/>
      <c r="H486" s="85"/>
      <c r="AF486" s="99"/>
    </row>
    <row r="487" spans="4:32" ht="15.75">
      <c r="D487" s="85"/>
      <c r="E487" s="85"/>
      <c r="F487" s="85"/>
      <c r="G487" s="85"/>
      <c r="H487" s="85"/>
      <c r="AF487" s="99"/>
    </row>
    <row r="488" spans="4:32" ht="15.75">
      <c r="D488" s="85"/>
      <c r="E488" s="85"/>
      <c r="F488" s="85"/>
      <c r="G488" s="85"/>
      <c r="H488" s="85"/>
      <c r="AF488" s="99"/>
    </row>
    <row r="489" spans="4:32" ht="15.75">
      <c r="D489" s="85"/>
      <c r="E489" s="85"/>
      <c r="F489" s="85"/>
      <c r="G489" s="85"/>
      <c r="H489" s="85"/>
      <c r="AF489" s="99"/>
    </row>
    <row r="490" spans="4:32" ht="15.75">
      <c r="D490" s="85"/>
      <c r="E490" s="85"/>
      <c r="F490" s="85"/>
      <c r="G490" s="85"/>
      <c r="H490" s="85"/>
      <c r="AF490" s="99"/>
    </row>
    <row r="491" spans="4:32" ht="15.75">
      <c r="D491" s="85"/>
      <c r="E491" s="85"/>
      <c r="F491" s="85"/>
      <c r="G491" s="85"/>
      <c r="H491" s="85"/>
      <c r="AF491" s="99"/>
    </row>
    <row r="492" spans="4:32" ht="15.75">
      <c r="D492" s="85"/>
      <c r="E492" s="85"/>
      <c r="F492" s="85"/>
      <c r="G492" s="85"/>
      <c r="H492" s="85"/>
      <c r="AF492" s="99"/>
    </row>
    <row r="493" spans="4:32" ht="15.75">
      <c r="D493" s="85"/>
      <c r="E493" s="85"/>
      <c r="F493" s="85"/>
      <c r="G493" s="85"/>
      <c r="H493" s="85"/>
      <c r="AF493" s="99"/>
    </row>
    <row r="494" spans="4:32" ht="15.75">
      <c r="D494" s="85"/>
      <c r="E494" s="85"/>
      <c r="F494" s="85"/>
      <c r="G494" s="85"/>
      <c r="H494" s="85"/>
      <c r="AF494" s="99"/>
    </row>
    <row r="495" spans="4:32" ht="15.75">
      <c r="D495" s="85"/>
      <c r="E495" s="85"/>
      <c r="F495" s="85"/>
      <c r="G495" s="85"/>
      <c r="H495" s="85"/>
      <c r="AF495" s="99"/>
    </row>
    <row r="496" spans="4:32" ht="15.75">
      <c r="D496" s="85"/>
      <c r="E496" s="85"/>
      <c r="F496" s="85"/>
      <c r="G496" s="85"/>
      <c r="H496" s="85"/>
      <c r="AF496" s="99"/>
    </row>
    <row r="497" spans="4:32" ht="15.75">
      <c r="D497" s="85"/>
      <c r="E497" s="85"/>
      <c r="F497" s="85"/>
      <c r="G497" s="85"/>
      <c r="H497" s="85"/>
      <c r="AF497" s="99"/>
    </row>
    <row r="498" spans="4:32" ht="15.75">
      <c r="D498" s="85"/>
      <c r="E498" s="85"/>
      <c r="F498" s="85"/>
      <c r="G498" s="85"/>
      <c r="H498" s="85"/>
      <c r="AF498" s="99"/>
    </row>
    <row r="499" spans="4:32" ht="15.75">
      <c r="D499" s="85"/>
      <c r="E499" s="85"/>
      <c r="F499" s="85"/>
      <c r="G499" s="85"/>
      <c r="H499" s="85"/>
      <c r="AF499" s="99"/>
    </row>
    <row r="500" spans="4:32" ht="15.75">
      <c r="D500" s="85"/>
      <c r="E500" s="85"/>
      <c r="F500" s="85"/>
      <c r="G500" s="85"/>
      <c r="H500" s="85"/>
      <c r="AF500" s="99"/>
    </row>
    <row r="501" spans="4:32" ht="15.75">
      <c r="D501" s="85"/>
      <c r="E501" s="85"/>
      <c r="F501" s="85"/>
      <c r="G501" s="85"/>
      <c r="H501" s="85"/>
      <c r="AF501" s="99"/>
    </row>
    <row r="502" spans="4:32" ht="15.75">
      <c r="D502" s="85"/>
      <c r="E502" s="85"/>
      <c r="F502" s="85"/>
      <c r="G502" s="85"/>
      <c r="H502" s="85"/>
      <c r="AF502" s="99"/>
    </row>
    <row r="503" spans="4:32" ht="15.75">
      <c r="D503" s="85"/>
      <c r="E503" s="85"/>
      <c r="F503" s="85"/>
      <c r="G503" s="85"/>
      <c r="H503" s="85"/>
      <c r="AF503" s="99"/>
    </row>
    <row r="504" spans="4:32" ht="15.75">
      <c r="D504" s="85"/>
      <c r="E504" s="85"/>
      <c r="F504" s="85"/>
      <c r="G504" s="85"/>
      <c r="H504" s="85"/>
      <c r="AF504" s="99"/>
    </row>
    <row r="505" spans="4:32" ht="15.75">
      <c r="D505" s="85"/>
      <c r="E505" s="85"/>
      <c r="F505" s="85"/>
      <c r="G505" s="85"/>
      <c r="H505" s="85"/>
      <c r="AF505" s="99"/>
    </row>
    <row r="506" spans="4:32" ht="15.75">
      <c r="D506" s="85"/>
      <c r="E506" s="85"/>
      <c r="F506" s="85"/>
      <c r="G506" s="85"/>
      <c r="H506" s="85"/>
      <c r="AF506" s="99"/>
    </row>
    <row r="507" spans="4:32" ht="15.75">
      <c r="D507" s="85"/>
      <c r="E507" s="85"/>
      <c r="F507" s="85"/>
      <c r="G507" s="85"/>
      <c r="H507" s="85"/>
      <c r="AF507" s="99"/>
    </row>
    <row r="508" spans="4:32" ht="15.75">
      <c r="D508" s="85"/>
      <c r="E508" s="85"/>
      <c r="F508" s="85"/>
      <c r="G508" s="85"/>
      <c r="H508" s="85"/>
      <c r="AF508" s="99"/>
    </row>
    <row r="509" spans="4:32" ht="15.75">
      <c r="D509" s="85"/>
      <c r="E509" s="85"/>
      <c r="F509" s="85"/>
      <c r="G509" s="85"/>
      <c r="H509" s="85"/>
      <c r="AF509" s="99"/>
    </row>
    <row r="510" spans="4:32" ht="15.75">
      <c r="D510" s="85"/>
      <c r="E510" s="85"/>
      <c r="F510" s="85"/>
      <c r="G510" s="85"/>
      <c r="H510" s="85"/>
      <c r="AF510" s="99"/>
    </row>
    <row r="511" spans="4:32" ht="15.75">
      <c r="D511" s="85"/>
      <c r="E511" s="85"/>
      <c r="F511" s="85"/>
      <c r="G511" s="85"/>
      <c r="H511" s="85"/>
      <c r="AF511" s="99"/>
    </row>
    <row r="512" spans="4:32" ht="15.75">
      <c r="D512" s="85"/>
      <c r="E512" s="85"/>
      <c r="F512" s="85"/>
      <c r="G512" s="85"/>
      <c r="H512" s="85"/>
      <c r="AF512" s="99"/>
    </row>
    <row r="513" spans="4:32" ht="15.75">
      <c r="D513" s="85"/>
      <c r="E513" s="85"/>
      <c r="F513" s="85"/>
      <c r="G513" s="85"/>
      <c r="H513" s="85"/>
      <c r="AF513" s="99"/>
    </row>
    <row r="514" spans="4:32" ht="15.75">
      <c r="D514" s="85"/>
      <c r="E514" s="85"/>
      <c r="F514" s="85"/>
      <c r="G514" s="85"/>
      <c r="H514" s="85"/>
      <c r="AF514" s="99"/>
    </row>
    <row r="515" spans="4:32" ht="15.75">
      <c r="D515" s="85"/>
      <c r="E515" s="85"/>
      <c r="F515" s="85"/>
      <c r="G515" s="85"/>
      <c r="H515" s="85"/>
      <c r="AF515" s="99"/>
    </row>
    <row r="516" spans="4:32" ht="15.75">
      <c r="D516" s="85"/>
      <c r="E516" s="85"/>
      <c r="F516" s="85"/>
      <c r="G516" s="85"/>
      <c r="H516" s="85"/>
      <c r="AF516" s="99"/>
    </row>
    <row r="517" spans="4:32" ht="15.75">
      <c r="D517" s="85"/>
      <c r="E517" s="85"/>
      <c r="F517" s="85"/>
      <c r="G517" s="85"/>
      <c r="H517" s="85"/>
      <c r="AF517" s="99"/>
    </row>
    <row r="518" spans="4:32" ht="15.75">
      <c r="D518" s="85"/>
      <c r="E518" s="85"/>
      <c r="F518" s="85"/>
      <c r="G518" s="85"/>
      <c r="H518" s="85"/>
      <c r="AF518" s="99"/>
    </row>
    <row r="519" spans="4:32" ht="15.75">
      <c r="D519" s="85"/>
      <c r="E519" s="85"/>
      <c r="F519" s="85"/>
      <c r="G519" s="85"/>
      <c r="H519" s="85"/>
      <c r="AF519" s="99"/>
    </row>
    <row r="520" spans="4:32" ht="15.75">
      <c r="D520" s="85"/>
      <c r="E520" s="85"/>
      <c r="F520" s="85"/>
      <c r="G520" s="85"/>
      <c r="H520" s="85"/>
      <c r="AF520" s="99"/>
    </row>
    <row r="521" spans="4:32" ht="15.75">
      <c r="D521" s="85"/>
      <c r="E521" s="85"/>
      <c r="F521" s="85"/>
      <c r="G521" s="85"/>
      <c r="H521" s="85"/>
      <c r="AF521" s="99"/>
    </row>
    <row r="522" spans="4:32" ht="15.75">
      <c r="D522" s="85"/>
      <c r="E522" s="85"/>
      <c r="F522" s="85"/>
      <c r="G522" s="85"/>
      <c r="H522" s="85"/>
      <c r="AF522" s="99"/>
    </row>
    <row r="523" spans="4:32" ht="15.75">
      <c r="D523" s="85"/>
      <c r="E523" s="85"/>
      <c r="F523" s="85"/>
      <c r="G523" s="85"/>
      <c r="H523" s="85"/>
      <c r="AF523" s="99"/>
    </row>
    <row r="524" spans="4:32" ht="15.75">
      <c r="D524" s="85"/>
      <c r="E524" s="85"/>
      <c r="F524" s="85"/>
      <c r="G524" s="85"/>
      <c r="H524" s="85"/>
      <c r="AF524" s="99"/>
    </row>
    <row r="525" spans="4:32" ht="15.75">
      <c r="D525" s="85"/>
      <c r="E525" s="85"/>
      <c r="F525" s="85"/>
      <c r="G525" s="85"/>
      <c r="H525" s="85"/>
      <c r="AF525" s="99"/>
    </row>
    <row r="526" spans="4:32" ht="15.75">
      <c r="D526" s="85"/>
      <c r="E526" s="85"/>
      <c r="F526" s="85"/>
      <c r="G526" s="85"/>
      <c r="H526" s="85"/>
      <c r="AF526" s="99"/>
    </row>
    <row r="527" spans="4:32" ht="15.75">
      <c r="D527" s="85"/>
      <c r="E527" s="85"/>
      <c r="F527" s="85"/>
      <c r="G527" s="85"/>
      <c r="H527" s="85"/>
      <c r="AF527" s="99"/>
    </row>
    <row r="528" spans="4:32" ht="15.75">
      <c r="D528" s="85"/>
      <c r="E528" s="85"/>
      <c r="F528" s="85"/>
      <c r="G528" s="85"/>
      <c r="H528" s="85"/>
      <c r="AF528" s="99"/>
    </row>
    <row r="529" spans="4:32" ht="15.75">
      <c r="D529" s="85"/>
      <c r="E529" s="85"/>
      <c r="F529" s="85"/>
      <c r="G529" s="85"/>
      <c r="H529" s="85"/>
      <c r="AF529" s="99"/>
    </row>
    <row r="530" spans="4:32" ht="15.75">
      <c r="D530" s="85"/>
      <c r="E530" s="85"/>
      <c r="F530" s="85"/>
      <c r="G530" s="85"/>
      <c r="H530" s="85"/>
      <c r="AF530" s="99"/>
    </row>
    <row r="531" spans="4:32" ht="15.75">
      <c r="D531" s="85"/>
      <c r="E531" s="85"/>
      <c r="F531" s="85"/>
      <c r="G531" s="85"/>
      <c r="H531" s="85"/>
      <c r="AF531" s="99"/>
    </row>
    <row r="532" spans="4:32" ht="15.75">
      <c r="D532" s="85"/>
      <c r="E532" s="85"/>
      <c r="F532" s="85"/>
      <c r="G532" s="85"/>
      <c r="H532" s="85"/>
      <c r="AF532" s="99"/>
    </row>
    <row r="533" spans="4:32" ht="15.75">
      <c r="D533" s="85"/>
      <c r="E533" s="85"/>
      <c r="F533" s="85"/>
      <c r="G533" s="85"/>
      <c r="H533" s="85"/>
      <c r="AF533" s="99"/>
    </row>
    <row r="534" spans="4:32" ht="15.75">
      <c r="D534" s="85"/>
      <c r="E534" s="85"/>
      <c r="F534" s="85"/>
      <c r="G534" s="85"/>
      <c r="H534" s="85"/>
      <c r="AF534" s="99"/>
    </row>
    <row r="535" spans="4:32" ht="15.75">
      <c r="D535" s="85"/>
      <c r="E535" s="85"/>
      <c r="F535" s="85"/>
      <c r="G535" s="85"/>
      <c r="H535" s="85"/>
      <c r="AF535" s="99"/>
    </row>
    <row r="536" spans="4:32" ht="15.75">
      <c r="D536" s="85"/>
      <c r="E536" s="85"/>
      <c r="F536" s="85"/>
      <c r="G536" s="85"/>
      <c r="H536" s="85"/>
      <c r="AF536" s="99"/>
    </row>
    <row r="537" spans="4:32" ht="15.75">
      <c r="D537" s="85"/>
      <c r="E537" s="85"/>
      <c r="F537" s="85"/>
      <c r="G537" s="85"/>
      <c r="H537" s="85"/>
      <c r="AF537" s="99"/>
    </row>
    <row r="538" spans="4:32" ht="15.75">
      <c r="D538" s="85"/>
      <c r="E538" s="85"/>
      <c r="F538" s="85"/>
      <c r="G538" s="85"/>
      <c r="H538" s="85"/>
      <c r="AF538" s="99"/>
    </row>
    <row r="539" spans="4:32" ht="15.75">
      <c r="D539" s="85"/>
      <c r="E539" s="85"/>
      <c r="F539" s="85"/>
      <c r="G539" s="85"/>
      <c r="H539" s="85"/>
      <c r="AF539" s="99"/>
    </row>
    <row r="540" spans="4:32" ht="15.75">
      <c r="D540" s="85"/>
      <c r="E540" s="85"/>
      <c r="F540" s="85"/>
      <c r="G540" s="85"/>
      <c r="H540" s="85"/>
      <c r="AF540" s="99"/>
    </row>
    <row r="541" spans="4:32" ht="15.75">
      <c r="D541" s="85"/>
      <c r="E541" s="85"/>
      <c r="F541" s="85"/>
      <c r="G541" s="85"/>
      <c r="H541" s="85"/>
      <c r="AF541" s="99"/>
    </row>
    <row r="542" spans="4:32" ht="15.75">
      <c r="D542" s="85"/>
      <c r="E542" s="85"/>
      <c r="F542" s="85"/>
      <c r="G542" s="85"/>
      <c r="H542" s="85"/>
      <c r="AF542" s="99"/>
    </row>
    <row r="543" spans="4:32" ht="15.75">
      <c r="D543" s="85"/>
      <c r="E543" s="85"/>
      <c r="F543" s="85"/>
      <c r="G543" s="85"/>
      <c r="H543" s="85"/>
      <c r="AF543" s="99"/>
    </row>
    <row r="544" spans="4:32" ht="15.75">
      <c r="D544" s="85"/>
      <c r="E544" s="85"/>
      <c r="F544" s="85"/>
      <c r="G544" s="85"/>
      <c r="H544" s="85"/>
      <c r="AF544" s="99"/>
    </row>
    <row r="545" spans="4:32" ht="15.75">
      <c r="D545" s="85"/>
      <c r="E545" s="85"/>
      <c r="F545" s="85"/>
      <c r="G545" s="85"/>
      <c r="H545" s="85"/>
      <c r="AF545" s="99"/>
    </row>
    <row r="546" spans="4:32" ht="15.75">
      <c r="D546" s="85"/>
      <c r="E546" s="85"/>
      <c r="F546" s="85"/>
      <c r="G546" s="85"/>
      <c r="H546" s="85"/>
      <c r="AF546" s="99"/>
    </row>
    <row r="547" spans="4:32" ht="15.75">
      <c r="D547" s="85"/>
      <c r="E547" s="85"/>
      <c r="F547" s="85"/>
      <c r="G547" s="85"/>
      <c r="H547" s="85"/>
      <c r="AF547" s="99"/>
    </row>
    <row r="548" spans="4:32" ht="15.75">
      <c r="D548" s="85"/>
      <c r="E548" s="85"/>
      <c r="F548" s="85"/>
      <c r="G548" s="85"/>
      <c r="H548" s="85"/>
      <c r="AF548" s="99"/>
    </row>
    <row r="549" spans="4:32" ht="15.75">
      <c r="D549" s="85"/>
      <c r="E549" s="85"/>
      <c r="F549" s="85"/>
      <c r="G549" s="85"/>
      <c r="H549" s="85"/>
      <c r="AF549" s="99"/>
    </row>
    <row r="550" spans="4:32" ht="15.75">
      <c r="D550" s="85"/>
      <c r="E550" s="85"/>
      <c r="F550" s="85"/>
      <c r="G550" s="85"/>
      <c r="H550" s="85"/>
      <c r="AF550" s="99"/>
    </row>
    <row r="551" spans="4:32" ht="15.75">
      <c r="D551" s="85"/>
      <c r="E551" s="85"/>
      <c r="F551" s="85"/>
      <c r="G551" s="85"/>
      <c r="H551" s="85"/>
      <c r="AF551" s="99"/>
    </row>
    <row r="552" spans="4:32" ht="15.75">
      <c r="D552" s="85"/>
      <c r="E552" s="85"/>
      <c r="F552" s="85"/>
      <c r="G552" s="85"/>
      <c r="H552" s="85"/>
      <c r="AF552" s="99"/>
    </row>
    <row r="553" spans="4:32" ht="15.75">
      <c r="D553" s="85"/>
      <c r="E553" s="85"/>
      <c r="F553" s="85"/>
      <c r="G553" s="85"/>
      <c r="H553" s="85"/>
      <c r="AF553" s="99"/>
    </row>
    <row r="554" spans="4:32" ht="15.75">
      <c r="D554" s="85"/>
      <c r="E554" s="85"/>
      <c r="F554" s="85"/>
      <c r="G554" s="85"/>
      <c r="H554" s="85"/>
      <c r="AF554" s="99"/>
    </row>
    <row r="555" spans="4:32" ht="15.75">
      <c r="D555" s="85"/>
      <c r="E555" s="85"/>
      <c r="F555" s="85"/>
      <c r="G555" s="85"/>
      <c r="H555" s="85"/>
      <c r="AF555" s="99"/>
    </row>
    <row r="556" spans="4:32" ht="15.75">
      <c r="D556" s="85"/>
      <c r="E556" s="85"/>
      <c r="F556" s="85"/>
      <c r="G556" s="85"/>
      <c r="H556" s="85"/>
      <c r="AF556" s="99"/>
    </row>
    <row r="557" spans="4:32" ht="15.75">
      <c r="D557" s="85"/>
      <c r="E557" s="85"/>
      <c r="F557" s="85"/>
      <c r="G557" s="85"/>
      <c r="H557" s="85"/>
      <c r="AF557" s="99"/>
    </row>
    <row r="558" spans="4:32" ht="15.75">
      <c r="D558" s="85"/>
      <c r="E558" s="85"/>
      <c r="F558" s="85"/>
      <c r="G558" s="85"/>
      <c r="H558" s="85"/>
      <c r="AF558" s="99"/>
    </row>
    <row r="559" spans="4:32" ht="15.75">
      <c r="D559" s="85"/>
      <c r="E559" s="85"/>
      <c r="F559" s="85"/>
      <c r="G559" s="85"/>
      <c r="H559" s="85"/>
      <c r="AF559" s="99"/>
    </row>
    <row r="560" spans="4:32" ht="15.75">
      <c r="D560" s="85"/>
      <c r="E560" s="85"/>
      <c r="F560" s="85"/>
      <c r="G560" s="85"/>
      <c r="H560" s="85"/>
      <c r="AF560" s="99"/>
    </row>
    <row r="561" spans="4:32" ht="15.75">
      <c r="D561" s="85"/>
      <c r="E561" s="85"/>
      <c r="F561" s="85"/>
      <c r="G561" s="85"/>
      <c r="H561" s="85"/>
      <c r="AF561" s="99"/>
    </row>
    <row r="562" spans="4:32" ht="15.75">
      <c r="D562" s="85"/>
      <c r="E562" s="85"/>
      <c r="F562" s="85"/>
      <c r="G562" s="85"/>
      <c r="H562" s="85"/>
      <c r="AF562" s="99"/>
    </row>
    <row r="563" spans="4:32" ht="15.75">
      <c r="D563" s="85"/>
      <c r="E563" s="85"/>
      <c r="F563" s="85"/>
      <c r="G563" s="85"/>
      <c r="H563" s="85"/>
      <c r="AF563" s="99"/>
    </row>
    <row r="564" spans="4:32" ht="15.75">
      <c r="D564" s="85"/>
      <c r="E564" s="85"/>
      <c r="F564" s="85"/>
      <c r="G564" s="85"/>
      <c r="H564" s="85"/>
      <c r="AF564" s="99"/>
    </row>
    <row r="565" spans="4:32" ht="15.75">
      <c r="D565" s="85"/>
      <c r="E565" s="85"/>
      <c r="F565" s="85"/>
      <c r="G565" s="85"/>
      <c r="H565" s="85"/>
      <c r="AF565" s="99"/>
    </row>
    <row r="566" spans="4:32" ht="15.75">
      <c r="D566" s="85"/>
      <c r="E566" s="85"/>
      <c r="F566" s="85"/>
      <c r="G566" s="85"/>
      <c r="H566" s="85"/>
      <c r="AF566" s="99"/>
    </row>
    <row r="567" spans="4:32" ht="15.75">
      <c r="D567" s="85"/>
      <c r="E567" s="85"/>
      <c r="F567" s="85"/>
      <c r="G567" s="85"/>
      <c r="H567" s="85"/>
      <c r="AF567" s="99"/>
    </row>
    <row r="568" spans="4:32" ht="15.75">
      <c r="D568" s="85"/>
      <c r="E568" s="85"/>
      <c r="F568" s="85"/>
      <c r="G568" s="85"/>
      <c r="H568" s="85"/>
      <c r="AF568" s="99"/>
    </row>
    <row r="569" spans="4:32" ht="15.75">
      <c r="D569" s="85"/>
      <c r="E569" s="85"/>
      <c r="F569" s="85"/>
      <c r="G569" s="85"/>
      <c r="H569" s="85"/>
      <c r="AF569" s="99"/>
    </row>
    <row r="570" spans="4:32" ht="15.75">
      <c r="D570" s="85"/>
      <c r="E570" s="85"/>
      <c r="F570" s="85"/>
      <c r="G570" s="85"/>
      <c r="H570" s="85"/>
      <c r="AF570" s="99"/>
    </row>
    <row r="571" spans="4:32" ht="15.75">
      <c r="D571" s="85"/>
      <c r="E571" s="85"/>
      <c r="F571" s="85"/>
      <c r="G571" s="85"/>
      <c r="H571" s="85"/>
      <c r="AF571" s="99"/>
    </row>
    <row r="572" spans="4:32" ht="15.75">
      <c r="D572" s="85"/>
      <c r="E572" s="85"/>
      <c r="F572" s="85"/>
      <c r="G572" s="85"/>
      <c r="H572" s="85"/>
      <c r="AF572" s="99"/>
    </row>
    <row r="573" spans="4:32" ht="15.75">
      <c r="D573" s="85"/>
      <c r="E573" s="85"/>
      <c r="F573" s="85"/>
      <c r="G573" s="85"/>
      <c r="H573" s="85"/>
      <c r="AF573" s="99"/>
    </row>
    <row r="574" spans="4:32" ht="15.75">
      <c r="D574" s="85"/>
      <c r="E574" s="85"/>
      <c r="F574" s="85"/>
      <c r="G574" s="85"/>
      <c r="H574" s="85"/>
      <c r="AF574" s="99"/>
    </row>
    <row r="575" spans="4:32" ht="15.75">
      <c r="D575" s="85"/>
      <c r="E575" s="85"/>
      <c r="F575" s="85"/>
      <c r="G575" s="85"/>
      <c r="H575" s="85"/>
      <c r="AF575" s="99"/>
    </row>
    <row r="576" spans="4:32" ht="15.75">
      <c r="D576" s="85"/>
      <c r="E576" s="85"/>
      <c r="F576" s="85"/>
      <c r="G576" s="85"/>
      <c r="H576" s="85"/>
      <c r="AF576" s="99"/>
    </row>
    <row r="577" spans="4:32" ht="15.75">
      <c r="D577" s="85"/>
      <c r="E577" s="85"/>
      <c r="F577" s="85"/>
      <c r="G577" s="85"/>
      <c r="H577" s="85"/>
      <c r="AF577" s="99"/>
    </row>
    <row r="578" spans="4:32" ht="15.75">
      <c r="D578" s="85"/>
      <c r="E578" s="85"/>
      <c r="F578" s="85"/>
      <c r="G578" s="85"/>
      <c r="H578" s="85"/>
      <c r="AF578" s="99"/>
    </row>
    <row r="579" spans="4:32" ht="15.75">
      <c r="D579" s="85"/>
      <c r="E579" s="85"/>
      <c r="F579" s="85"/>
      <c r="G579" s="85"/>
      <c r="H579" s="85"/>
      <c r="AF579" s="99"/>
    </row>
    <row r="580" spans="4:32" ht="15.75">
      <c r="D580" s="85"/>
      <c r="E580" s="85"/>
      <c r="F580" s="85"/>
      <c r="G580" s="85"/>
      <c r="H580" s="85"/>
      <c r="AF580" s="99"/>
    </row>
    <row r="581" spans="4:32" ht="15.75">
      <c r="D581" s="85"/>
      <c r="E581" s="85"/>
      <c r="F581" s="85"/>
      <c r="G581" s="85"/>
      <c r="H581" s="85"/>
      <c r="AF581" s="99"/>
    </row>
    <row r="582" spans="4:32" ht="15.75">
      <c r="D582" s="85"/>
      <c r="E582" s="85"/>
      <c r="F582" s="85"/>
      <c r="G582" s="85"/>
      <c r="H582" s="85"/>
      <c r="AF582" s="99"/>
    </row>
    <row r="583" spans="4:32" ht="15.75">
      <c r="D583" s="85"/>
      <c r="E583" s="85"/>
      <c r="F583" s="85"/>
      <c r="G583" s="85"/>
      <c r="H583" s="85"/>
      <c r="AF583" s="99"/>
    </row>
    <row r="584" spans="4:32" ht="15.75">
      <c r="D584" s="85"/>
      <c r="E584" s="85"/>
      <c r="F584" s="85"/>
      <c r="G584" s="85"/>
      <c r="H584" s="85"/>
      <c r="AF584" s="99"/>
    </row>
    <row r="585" spans="4:32" ht="15.75">
      <c r="D585" s="85"/>
      <c r="E585" s="85"/>
      <c r="F585" s="85"/>
      <c r="G585" s="85"/>
      <c r="H585" s="85"/>
      <c r="AF585" s="99"/>
    </row>
    <row r="586" spans="4:32" ht="15.75">
      <c r="D586" s="85"/>
      <c r="E586" s="85"/>
      <c r="F586" s="85"/>
      <c r="G586" s="85"/>
      <c r="H586" s="85"/>
      <c r="AF586" s="99"/>
    </row>
    <row r="587" spans="4:32" ht="15.75">
      <c r="D587" s="85"/>
      <c r="E587" s="85"/>
      <c r="F587" s="85"/>
      <c r="G587" s="85"/>
      <c r="H587" s="85"/>
      <c r="AF587" s="99"/>
    </row>
    <row r="588" spans="4:32" ht="15.75">
      <c r="D588" s="85"/>
      <c r="E588" s="85"/>
      <c r="F588" s="85"/>
      <c r="G588" s="85"/>
      <c r="H588" s="85"/>
      <c r="AF588" s="99"/>
    </row>
    <row r="589" spans="4:32" ht="15.75">
      <c r="D589" s="85"/>
      <c r="E589" s="85"/>
      <c r="F589" s="85"/>
      <c r="G589" s="85"/>
      <c r="H589" s="85"/>
      <c r="AF589" s="99"/>
    </row>
    <row r="590" spans="4:32" ht="15.75">
      <c r="D590" s="85"/>
      <c r="E590" s="85"/>
      <c r="F590" s="85"/>
      <c r="G590" s="85"/>
      <c r="H590" s="85"/>
      <c r="AF590" s="99"/>
    </row>
    <row r="591" spans="4:32" ht="15.75">
      <c r="D591" s="85"/>
      <c r="E591" s="85"/>
      <c r="F591" s="85"/>
      <c r="G591" s="85"/>
      <c r="H591" s="85"/>
      <c r="AF591" s="99"/>
    </row>
    <row r="592" spans="4:32" ht="15.75">
      <c r="D592" s="85"/>
      <c r="E592" s="85"/>
      <c r="F592" s="85"/>
      <c r="G592" s="85"/>
      <c r="H592" s="85"/>
      <c r="AF592" s="99"/>
    </row>
    <row r="593" spans="4:32" ht="15.75">
      <c r="D593" s="85"/>
      <c r="E593" s="85"/>
      <c r="F593" s="85"/>
      <c r="G593" s="85"/>
      <c r="H593" s="85"/>
      <c r="AF593" s="99"/>
    </row>
    <row r="594" spans="4:32" ht="15.75">
      <c r="D594" s="85"/>
      <c r="E594" s="85"/>
      <c r="F594" s="85"/>
      <c r="G594" s="85"/>
      <c r="H594" s="85"/>
      <c r="AF594" s="99"/>
    </row>
    <row r="595" spans="4:32" ht="15.75">
      <c r="D595" s="85"/>
      <c r="E595" s="85"/>
      <c r="F595" s="85"/>
      <c r="G595" s="85"/>
      <c r="H595" s="85"/>
      <c r="AF595" s="99"/>
    </row>
    <row r="596" spans="4:32" ht="15.75">
      <c r="D596" s="85"/>
      <c r="E596" s="85"/>
      <c r="F596" s="85"/>
      <c r="G596" s="85"/>
      <c r="H596" s="85"/>
      <c r="AF596" s="99"/>
    </row>
    <row r="597" spans="4:32" ht="15.75">
      <c r="D597" s="85"/>
      <c r="E597" s="85"/>
      <c r="F597" s="85"/>
      <c r="G597" s="85"/>
      <c r="H597" s="85"/>
      <c r="AF597" s="99"/>
    </row>
    <row r="598" spans="4:32" ht="15.75">
      <c r="D598" s="85"/>
      <c r="E598" s="85"/>
      <c r="F598" s="85"/>
      <c r="G598" s="85"/>
      <c r="H598" s="85"/>
      <c r="AF598" s="99"/>
    </row>
    <row r="599" spans="4:32" ht="15.75">
      <c r="D599" s="85"/>
      <c r="E599" s="85"/>
      <c r="F599" s="85"/>
      <c r="G599" s="85"/>
      <c r="H599" s="85"/>
      <c r="AF599" s="99"/>
    </row>
    <row r="600" spans="4:32" ht="15.75">
      <c r="D600" s="85"/>
      <c r="E600" s="85"/>
      <c r="F600" s="85"/>
      <c r="G600" s="85"/>
      <c r="H600" s="85"/>
      <c r="AF600" s="99"/>
    </row>
    <row r="601" spans="4:32" ht="15.75">
      <c r="D601" s="85"/>
      <c r="E601" s="85"/>
      <c r="F601" s="85"/>
      <c r="G601" s="85"/>
      <c r="H601" s="85"/>
      <c r="AF601" s="99"/>
    </row>
    <row r="602" spans="4:32" ht="15.75">
      <c r="D602" s="85"/>
      <c r="E602" s="85"/>
      <c r="F602" s="85"/>
      <c r="G602" s="85"/>
      <c r="H602" s="85"/>
      <c r="AF602" s="99"/>
    </row>
    <row r="603" spans="4:32" ht="15.75">
      <c r="D603" s="85"/>
      <c r="E603" s="85"/>
      <c r="F603" s="85"/>
      <c r="G603" s="85"/>
      <c r="H603" s="85"/>
      <c r="AF603" s="99"/>
    </row>
    <row r="604" spans="4:32" ht="15.75">
      <c r="D604" s="85"/>
      <c r="E604" s="85"/>
      <c r="F604" s="85"/>
      <c r="G604" s="85"/>
      <c r="H604" s="85"/>
      <c r="AF604" s="99"/>
    </row>
    <row r="605" spans="4:32" ht="15.75">
      <c r="D605" s="85"/>
      <c r="E605" s="85"/>
      <c r="F605" s="85"/>
      <c r="G605" s="85"/>
      <c r="H605" s="85"/>
      <c r="AF605" s="99"/>
    </row>
    <row r="606" spans="4:32" ht="15.75">
      <c r="D606" s="85"/>
      <c r="E606" s="85"/>
      <c r="F606" s="85"/>
      <c r="G606" s="85"/>
      <c r="H606" s="85"/>
      <c r="AF606" s="99"/>
    </row>
    <row r="607" spans="4:32" ht="15.75">
      <c r="D607" s="85"/>
      <c r="E607" s="85"/>
      <c r="F607" s="85"/>
      <c r="G607" s="85"/>
      <c r="H607" s="85"/>
      <c r="AF607" s="99"/>
    </row>
    <row r="608" spans="4:32" ht="15.75">
      <c r="D608" s="85"/>
      <c r="E608" s="85"/>
      <c r="F608" s="85"/>
      <c r="G608" s="85"/>
      <c r="H608" s="85"/>
      <c r="AF608" s="99"/>
    </row>
    <row r="609" spans="4:32" ht="15.75">
      <c r="D609" s="85"/>
      <c r="E609" s="85"/>
      <c r="F609" s="85"/>
      <c r="G609" s="85"/>
      <c r="H609" s="85"/>
      <c r="AF609" s="99"/>
    </row>
    <row r="610" spans="4:32" ht="15.75">
      <c r="D610" s="85"/>
      <c r="E610" s="85"/>
      <c r="F610" s="85"/>
      <c r="G610" s="85"/>
      <c r="H610" s="85"/>
      <c r="AF610" s="99"/>
    </row>
    <row r="611" spans="4:32" ht="15.75">
      <c r="D611" s="85"/>
      <c r="E611" s="85"/>
      <c r="F611" s="85"/>
      <c r="G611" s="85"/>
      <c r="H611" s="85"/>
      <c r="AF611" s="99"/>
    </row>
    <row r="612" spans="4:32" ht="15.75">
      <c r="D612" s="85"/>
      <c r="E612" s="85"/>
      <c r="F612" s="85"/>
      <c r="G612" s="85"/>
      <c r="H612" s="85"/>
      <c r="AF612" s="99"/>
    </row>
    <row r="613" spans="4:32" ht="15.75">
      <c r="D613" s="85"/>
      <c r="E613" s="85"/>
      <c r="F613" s="85"/>
      <c r="G613" s="85"/>
      <c r="H613" s="85"/>
      <c r="AF613" s="99"/>
    </row>
    <row r="614" spans="4:32" ht="15.75">
      <c r="D614" s="85"/>
      <c r="E614" s="85"/>
      <c r="F614" s="85"/>
      <c r="G614" s="85"/>
      <c r="H614" s="85"/>
      <c r="AF614" s="99"/>
    </row>
    <row r="615" spans="4:32" ht="15.75">
      <c r="D615" s="85"/>
      <c r="E615" s="85"/>
      <c r="F615" s="85"/>
      <c r="G615" s="85"/>
      <c r="H615" s="85"/>
      <c r="AF615" s="99"/>
    </row>
    <row r="616" spans="4:32" ht="15.75">
      <c r="D616" s="85"/>
      <c r="E616" s="85"/>
      <c r="F616" s="85"/>
      <c r="G616" s="85"/>
      <c r="H616" s="85"/>
      <c r="AF616" s="99"/>
    </row>
    <row r="617" spans="4:32" ht="15.75">
      <c r="D617" s="85"/>
      <c r="E617" s="85"/>
      <c r="F617" s="85"/>
      <c r="G617" s="85"/>
      <c r="H617" s="85"/>
      <c r="AF617" s="99"/>
    </row>
    <row r="618" spans="4:32" ht="15.75">
      <c r="D618" s="85"/>
      <c r="E618" s="85"/>
      <c r="F618" s="85"/>
      <c r="G618" s="85"/>
      <c r="H618" s="85"/>
      <c r="AF618" s="99"/>
    </row>
    <row r="619" spans="4:32" ht="15.75">
      <c r="D619" s="85"/>
      <c r="E619" s="85"/>
      <c r="F619" s="85"/>
      <c r="G619" s="85"/>
      <c r="H619" s="85"/>
      <c r="AF619" s="99"/>
    </row>
    <row r="620" spans="4:32" ht="15.75">
      <c r="D620" s="85"/>
      <c r="E620" s="85"/>
      <c r="F620" s="85"/>
      <c r="G620" s="85"/>
      <c r="H620" s="85"/>
      <c r="AF620" s="99"/>
    </row>
    <row r="621" spans="4:32" ht="15.75">
      <c r="D621" s="85"/>
      <c r="E621" s="85"/>
      <c r="F621" s="85"/>
      <c r="G621" s="85"/>
      <c r="H621" s="85"/>
      <c r="AF621" s="99"/>
    </row>
    <row r="622" spans="4:32" ht="15.75">
      <c r="D622" s="85"/>
      <c r="E622" s="85"/>
      <c r="F622" s="85"/>
      <c r="G622" s="85"/>
      <c r="H622" s="85"/>
      <c r="AF622" s="99"/>
    </row>
    <row r="623" spans="4:32" ht="15.75">
      <c r="D623" s="85"/>
      <c r="E623" s="85"/>
      <c r="F623" s="85"/>
      <c r="G623" s="85"/>
      <c r="H623" s="85"/>
      <c r="AF623" s="99"/>
    </row>
    <row r="624" spans="4:32" ht="15.75">
      <c r="D624" s="85"/>
      <c r="E624" s="85"/>
      <c r="F624" s="85"/>
      <c r="G624" s="85"/>
      <c r="H624" s="85"/>
      <c r="AF624" s="99"/>
    </row>
    <row r="625" spans="4:32" ht="15.75">
      <c r="D625" s="85"/>
      <c r="E625" s="85"/>
      <c r="F625" s="85"/>
      <c r="G625" s="85"/>
      <c r="H625" s="85"/>
      <c r="AF625" s="99"/>
    </row>
    <row r="626" spans="4:32" ht="15.75">
      <c r="D626" s="85"/>
      <c r="E626" s="85"/>
      <c r="F626" s="85"/>
      <c r="G626" s="85"/>
      <c r="H626" s="85"/>
      <c r="AF626" s="99"/>
    </row>
    <row r="627" spans="4:32" ht="15.75">
      <c r="D627" s="85"/>
      <c r="E627" s="85"/>
      <c r="F627" s="85"/>
      <c r="G627" s="85"/>
      <c r="H627" s="85"/>
      <c r="AF627" s="99"/>
    </row>
    <row r="628" spans="4:32" ht="15.75">
      <c r="D628" s="85"/>
      <c r="E628" s="85"/>
      <c r="F628" s="85"/>
      <c r="G628" s="85"/>
      <c r="H628" s="85"/>
      <c r="AF628" s="99"/>
    </row>
    <row r="629" spans="4:32" ht="15.75">
      <c r="D629" s="85"/>
      <c r="E629" s="85"/>
      <c r="F629" s="85"/>
      <c r="G629" s="85"/>
      <c r="H629" s="85"/>
      <c r="AF629" s="99"/>
    </row>
    <row r="630" spans="4:32" ht="15.75">
      <c r="D630" s="85"/>
      <c r="E630" s="85"/>
      <c r="F630" s="85"/>
      <c r="G630" s="85"/>
      <c r="H630" s="85"/>
      <c r="AF630" s="99"/>
    </row>
    <row r="631" spans="4:32" ht="15.75">
      <c r="D631" s="85"/>
      <c r="E631" s="85"/>
      <c r="F631" s="85"/>
      <c r="G631" s="85"/>
      <c r="H631" s="85"/>
      <c r="AF631" s="99"/>
    </row>
    <row r="632" spans="4:32" ht="15.75">
      <c r="D632" s="85"/>
      <c r="E632" s="85"/>
      <c r="F632" s="85"/>
      <c r="G632" s="85"/>
      <c r="H632" s="85"/>
      <c r="AF632" s="99"/>
    </row>
    <row r="633" spans="4:32" ht="15.75">
      <c r="D633" s="85"/>
      <c r="E633" s="85"/>
      <c r="F633" s="85"/>
      <c r="G633" s="85"/>
      <c r="H633" s="85"/>
      <c r="AF633" s="99"/>
    </row>
    <row r="634" spans="4:32" ht="15.75">
      <c r="D634" s="85"/>
      <c r="E634" s="85"/>
      <c r="F634" s="85"/>
      <c r="G634" s="85"/>
      <c r="H634" s="85"/>
      <c r="AF634" s="99"/>
    </row>
    <row r="635" spans="4:32" ht="15.75">
      <c r="D635" s="85"/>
      <c r="E635" s="85"/>
      <c r="F635" s="85"/>
      <c r="G635" s="85"/>
      <c r="H635" s="85"/>
      <c r="AF635" s="99"/>
    </row>
    <row r="636" spans="4:32" ht="15.75">
      <c r="D636" s="85"/>
      <c r="E636" s="85"/>
      <c r="F636" s="85"/>
      <c r="G636" s="85"/>
      <c r="H636" s="85"/>
      <c r="AF636" s="99"/>
    </row>
    <row r="637" spans="4:32" ht="15.75">
      <c r="D637" s="85"/>
      <c r="E637" s="85"/>
      <c r="F637" s="85"/>
      <c r="G637" s="85"/>
      <c r="H637" s="85"/>
      <c r="AF637" s="99"/>
    </row>
    <row r="638" spans="4:32" ht="15.75">
      <c r="D638" s="85"/>
      <c r="E638" s="85"/>
      <c r="F638" s="85"/>
      <c r="G638" s="85"/>
      <c r="H638" s="85"/>
      <c r="AF638" s="99"/>
    </row>
    <row r="639" spans="4:32" ht="15.75">
      <c r="D639" s="85"/>
      <c r="E639" s="85"/>
      <c r="F639" s="85"/>
      <c r="G639" s="85"/>
      <c r="H639" s="85"/>
      <c r="AF639" s="99"/>
    </row>
    <row r="640" spans="4:32" ht="15.75">
      <c r="D640" s="85"/>
      <c r="E640" s="85"/>
      <c r="F640" s="85"/>
      <c r="G640" s="85"/>
      <c r="H640" s="85"/>
      <c r="AF640" s="99"/>
    </row>
    <row r="641" spans="4:32" ht="15.75">
      <c r="D641" s="85"/>
      <c r="E641" s="85"/>
      <c r="F641" s="85"/>
      <c r="G641" s="85"/>
      <c r="H641" s="85"/>
      <c r="AF641" s="99"/>
    </row>
    <row r="642" spans="4:32" ht="15.75">
      <c r="D642" s="85"/>
      <c r="E642" s="85"/>
      <c r="F642" s="85"/>
      <c r="G642" s="85"/>
      <c r="H642" s="85"/>
      <c r="AF642" s="99"/>
    </row>
    <row r="643" spans="4:32" ht="15.75">
      <c r="D643" s="85"/>
      <c r="E643" s="85"/>
      <c r="F643" s="85"/>
      <c r="G643" s="85"/>
      <c r="H643" s="85"/>
      <c r="AF643" s="99"/>
    </row>
    <row r="644" spans="4:32" ht="15.75">
      <c r="D644" s="85"/>
      <c r="E644" s="85"/>
      <c r="F644" s="85"/>
      <c r="G644" s="85"/>
      <c r="H644" s="85"/>
      <c r="AF644" s="99"/>
    </row>
    <row r="645" spans="4:32" ht="15.75">
      <c r="D645" s="85"/>
      <c r="E645" s="85"/>
      <c r="F645" s="85"/>
      <c r="G645" s="85"/>
      <c r="H645" s="85"/>
      <c r="AF645" s="99"/>
    </row>
    <row r="646" spans="4:32" ht="15.75">
      <c r="D646" s="85"/>
      <c r="E646" s="85"/>
      <c r="F646" s="85"/>
      <c r="G646" s="85"/>
      <c r="H646" s="85"/>
      <c r="AF646" s="99"/>
    </row>
    <row r="647" spans="4:32" ht="15.75">
      <c r="D647" s="85"/>
      <c r="E647" s="85"/>
      <c r="F647" s="85"/>
      <c r="G647" s="85"/>
      <c r="H647" s="85"/>
      <c r="AF647" s="99"/>
    </row>
    <row r="648" spans="4:32" ht="15.75">
      <c r="D648" s="85"/>
      <c r="E648" s="85"/>
      <c r="F648" s="85"/>
      <c r="G648" s="85"/>
      <c r="H648" s="85"/>
      <c r="AF648" s="99"/>
    </row>
    <row r="649" spans="4:32" ht="15.75">
      <c r="D649" s="85"/>
      <c r="E649" s="85"/>
      <c r="F649" s="85"/>
      <c r="G649" s="85"/>
      <c r="H649" s="85"/>
      <c r="AF649" s="99"/>
    </row>
    <row r="650" spans="4:32" ht="15.75">
      <c r="D650" s="85"/>
      <c r="E650" s="85"/>
      <c r="F650" s="85"/>
      <c r="G650" s="85"/>
      <c r="H650" s="85"/>
      <c r="AF650" s="99"/>
    </row>
    <row r="651" spans="4:32" ht="15.75">
      <c r="D651" s="85"/>
      <c r="E651" s="85"/>
      <c r="F651" s="85"/>
      <c r="G651" s="85"/>
      <c r="H651" s="85"/>
      <c r="AF651" s="99"/>
    </row>
    <row r="652" spans="4:32" ht="15.75">
      <c r="D652" s="85"/>
      <c r="E652" s="85"/>
      <c r="F652" s="85"/>
      <c r="G652" s="85"/>
      <c r="H652" s="85"/>
      <c r="AF652" s="99"/>
    </row>
    <row r="653" spans="4:32" ht="15.75">
      <c r="D653" s="85"/>
      <c r="E653" s="85"/>
      <c r="F653" s="85"/>
      <c r="G653" s="85"/>
      <c r="H653" s="85"/>
      <c r="AF653" s="99"/>
    </row>
    <row r="654" spans="4:32" ht="15.75">
      <c r="D654" s="85"/>
      <c r="E654" s="85"/>
      <c r="F654" s="85"/>
      <c r="G654" s="85"/>
      <c r="H654" s="85"/>
      <c r="AF654" s="99"/>
    </row>
    <row r="655" spans="4:32" ht="15.75">
      <c r="D655" s="85"/>
      <c r="E655" s="85"/>
      <c r="F655" s="85"/>
      <c r="G655" s="85"/>
      <c r="H655" s="85"/>
      <c r="AF655" s="99"/>
    </row>
    <row r="656" spans="4:32" ht="15.75">
      <c r="D656" s="85"/>
      <c r="E656" s="85"/>
      <c r="F656" s="85"/>
      <c r="G656" s="85"/>
      <c r="H656" s="85"/>
      <c r="AF656" s="99"/>
    </row>
    <row r="657" spans="4:32" ht="15.75">
      <c r="D657" s="85"/>
      <c r="E657" s="85"/>
      <c r="F657" s="85"/>
      <c r="G657" s="85"/>
      <c r="H657" s="85"/>
      <c r="AF657" s="99"/>
    </row>
    <row r="658" spans="4:32" ht="15.75">
      <c r="D658" s="85"/>
      <c r="E658" s="85"/>
      <c r="F658" s="85"/>
      <c r="G658" s="85"/>
      <c r="H658" s="85"/>
      <c r="AF658" s="99"/>
    </row>
    <row r="659" spans="4:32" ht="15.75">
      <c r="D659" s="85"/>
      <c r="E659" s="85"/>
      <c r="F659" s="85"/>
      <c r="G659" s="85"/>
      <c r="H659" s="85"/>
      <c r="AF659" s="99"/>
    </row>
    <row r="660" spans="4:32" ht="15.75">
      <c r="D660" s="85"/>
      <c r="E660" s="85"/>
      <c r="F660" s="85"/>
      <c r="G660" s="85"/>
      <c r="H660" s="85"/>
      <c r="AF660" s="99"/>
    </row>
    <row r="661" spans="4:32" ht="15.75">
      <c r="D661" s="85"/>
      <c r="E661" s="85"/>
      <c r="F661" s="85"/>
      <c r="G661" s="85"/>
      <c r="H661" s="85"/>
      <c r="AF661" s="99"/>
    </row>
    <row r="662" spans="4:32" ht="15.75">
      <c r="D662" s="85"/>
      <c r="E662" s="85"/>
      <c r="F662" s="85"/>
      <c r="G662" s="85"/>
      <c r="H662" s="85"/>
      <c r="AF662" s="99"/>
    </row>
    <row r="663" spans="4:32" ht="15.75">
      <c r="D663" s="85"/>
      <c r="E663" s="85"/>
      <c r="F663" s="85"/>
      <c r="G663" s="85"/>
      <c r="H663" s="85"/>
      <c r="AF663" s="99"/>
    </row>
    <row r="664" spans="4:32" ht="15.75">
      <c r="D664" s="85"/>
      <c r="E664" s="85"/>
      <c r="F664" s="85"/>
      <c r="G664" s="85"/>
      <c r="H664" s="85"/>
      <c r="AF664" s="99"/>
    </row>
    <row r="665" spans="4:32" ht="15.75">
      <c r="D665" s="85"/>
      <c r="E665" s="85"/>
      <c r="F665" s="85"/>
      <c r="G665" s="85"/>
      <c r="H665" s="85"/>
      <c r="AF665" s="99"/>
    </row>
    <row r="666" spans="4:32" ht="15.75">
      <c r="D666" s="85"/>
      <c r="E666" s="85"/>
      <c r="F666" s="85"/>
      <c r="G666" s="85"/>
      <c r="H666" s="85"/>
      <c r="AF666" s="99"/>
    </row>
    <row r="667" spans="4:32" ht="15.75">
      <c r="D667" s="85"/>
      <c r="E667" s="85"/>
      <c r="F667" s="85"/>
      <c r="G667" s="85"/>
      <c r="H667" s="85"/>
      <c r="AF667" s="99"/>
    </row>
    <row r="668" spans="4:32" ht="15.75">
      <c r="D668" s="85"/>
      <c r="E668" s="85"/>
      <c r="F668" s="85"/>
      <c r="G668" s="85"/>
      <c r="H668" s="85"/>
      <c r="AF668" s="99"/>
    </row>
    <row r="669" spans="4:32" ht="15.75">
      <c r="D669" s="85"/>
      <c r="E669" s="85"/>
      <c r="F669" s="85"/>
      <c r="G669" s="85"/>
      <c r="H669" s="85"/>
      <c r="AF669" s="99"/>
    </row>
    <row r="670" spans="4:32" ht="15.75">
      <c r="D670" s="85"/>
      <c r="E670" s="85"/>
      <c r="F670" s="85"/>
      <c r="G670" s="85"/>
      <c r="H670" s="85"/>
      <c r="AF670" s="99"/>
    </row>
    <row r="671" spans="4:32" ht="15.75">
      <c r="D671" s="85"/>
      <c r="E671" s="85"/>
      <c r="F671" s="85"/>
      <c r="G671" s="85"/>
      <c r="H671" s="85"/>
      <c r="AF671" s="99"/>
    </row>
    <row r="672" spans="4:32" ht="15.75">
      <c r="D672" s="85"/>
      <c r="E672" s="85"/>
      <c r="F672" s="85"/>
      <c r="G672" s="85"/>
      <c r="H672" s="85"/>
      <c r="AF672" s="99"/>
    </row>
    <row r="673" spans="4:32" ht="15.75">
      <c r="D673" s="85"/>
      <c r="E673" s="85"/>
      <c r="F673" s="85"/>
      <c r="G673" s="85"/>
      <c r="H673" s="85"/>
      <c r="AF673" s="99"/>
    </row>
    <row r="674" spans="4:32" ht="15.75">
      <c r="D674" s="85"/>
      <c r="E674" s="85"/>
      <c r="F674" s="85"/>
      <c r="G674" s="85"/>
      <c r="H674" s="85"/>
      <c r="AF674" s="99"/>
    </row>
    <row r="675" spans="4:32" ht="15.75">
      <c r="D675" s="85"/>
      <c r="E675" s="85"/>
      <c r="F675" s="85"/>
      <c r="G675" s="85"/>
      <c r="H675" s="85"/>
      <c r="AF675" s="99"/>
    </row>
    <row r="676" spans="4:32" ht="15.75">
      <c r="D676" s="85"/>
      <c r="E676" s="85"/>
      <c r="F676" s="85"/>
      <c r="G676" s="85"/>
      <c r="H676" s="85"/>
      <c r="AF676" s="99"/>
    </row>
    <row r="677" spans="4:32" ht="15.75">
      <c r="D677" s="85"/>
      <c r="E677" s="85"/>
      <c r="F677" s="85"/>
      <c r="G677" s="85"/>
      <c r="H677" s="85"/>
      <c r="AF677" s="99"/>
    </row>
    <row r="678" spans="4:32" ht="15.75">
      <c r="D678" s="85"/>
      <c r="E678" s="85"/>
      <c r="F678" s="85"/>
      <c r="G678" s="85"/>
      <c r="H678" s="85"/>
      <c r="AF678" s="99"/>
    </row>
    <row r="679" spans="4:32" ht="15.75">
      <c r="D679" s="85"/>
      <c r="E679" s="85"/>
      <c r="F679" s="85"/>
      <c r="G679" s="85"/>
      <c r="H679" s="85"/>
      <c r="AF679" s="99"/>
    </row>
    <row r="680" spans="4:32" ht="15.75">
      <c r="D680" s="85"/>
      <c r="E680" s="85"/>
      <c r="F680" s="85"/>
      <c r="G680" s="85"/>
      <c r="H680" s="85"/>
      <c r="AF680" s="99"/>
    </row>
    <row r="681" spans="4:32" ht="15.75">
      <c r="D681" s="85"/>
      <c r="E681" s="85"/>
      <c r="F681" s="85"/>
      <c r="G681" s="85"/>
      <c r="H681" s="85"/>
      <c r="AF681" s="99"/>
    </row>
    <row r="682" spans="4:32" ht="15.75">
      <c r="D682" s="85"/>
      <c r="E682" s="85"/>
      <c r="F682" s="85"/>
      <c r="G682" s="85"/>
      <c r="H682" s="85"/>
      <c r="AF682" s="99"/>
    </row>
    <row r="683" spans="4:32" ht="15.75">
      <c r="D683" s="85"/>
      <c r="E683" s="85"/>
      <c r="F683" s="85"/>
      <c r="G683" s="85"/>
      <c r="H683" s="85"/>
      <c r="AF683" s="99"/>
    </row>
    <row r="684" spans="4:32" ht="15.75">
      <c r="D684" s="85"/>
      <c r="E684" s="85"/>
      <c r="F684" s="85"/>
      <c r="G684" s="85"/>
      <c r="H684" s="85"/>
      <c r="AF684" s="99"/>
    </row>
    <row r="685" spans="4:32" ht="15.75">
      <c r="D685" s="85"/>
      <c r="E685" s="85"/>
      <c r="F685" s="85"/>
      <c r="G685" s="85"/>
      <c r="H685" s="85"/>
      <c r="AF685" s="99"/>
    </row>
    <row r="686" spans="4:32" ht="15.75">
      <c r="D686" s="85"/>
      <c r="E686" s="85"/>
      <c r="F686" s="85"/>
      <c r="G686" s="85"/>
      <c r="H686" s="85"/>
      <c r="AF686" s="99"/>
    </row>
    <row r="687" spans="4:32" ht="15.75">
      <c r="D687" s="85"/>
      <c r="E687" s="85"/>
      <c r="F687" s="85"/>
      <c r="G687" s="85"/>
      <c r="H687" s="85"/>
      <c r="AF687" s="99"/>
    </row>
    <row r="688" spans="4:32" ht="15.75">
      <c r="D688" s="85"/>
      <c r="E688" s="85"/>
      <c r="F688" s="85"/>
      <c r="G688" s="85"/>
      <c r="H688" s="85"/>
      <c r="AF688" s="99"/>
    </row>
    <row r="689" spans="4:32" ht="15.75">
      <c r="D689" s="85"/>
      <c r="E689" s="85"/>
      <c r="F689" s="85"/>
      <c r="G689" s="85"/>
      <c r="H689" s="85"/>
      <c r="AF689" s="99"/>
    </row>
    <row r="690" spans="4:32" ht="15.75">
      <c r="D690" s="85"/>
      <c r="E690" s="85"/>
      <c r="F690" s="85"/>
      <c r="G690" s="85"/>
      <c r="H690" s="85"/>
      <c r="AF690" s="99"/>
    </row>
    <row r="691" spans="4:32" ht="15.75">
      <c r="D691" s="85"/>
      <c r="E691" s="85"/>
      <c r="F691" s="85"/>
      <c r="G691" s="85"/>
      <c r="H691" s="85"/>
      <c r="AF691" s="99"/>
    </row>
    <row r="692" spans="4:32" ht="15.75">
      <c r="D692" s="85"/>
      <c r="E692" s="85"/>
      <c r="F692" s="85"/>
      <c r="G692" s="85"/>
      <c r="H692" s="85"/>
      <c r="AF692" s="99"/>
    </row>
    <row r="693" spans="4:32" ht="15.75">
      <c r="D693" s="85"/>
      <c r="E693" s="85"/>
      <c r="F693" s="85"/>
      <c r="G693" s="85"/>
      <c r="H693" s="85"/>
      <c r="AF693" s="99"/>
    </row>
    <row r="694" spans="4:32" ht="15.75">
      <c r="D694" s="85"/>
      <c r="E694" s="85"/>
      <c r="F694" s="85"/>
      <c r="G694" s="85"/>
      <c r="H694" s="85"/>
      <c r="AF694" s="99"/>
    </row>
    <row r="695" spans="4:32" ht="15.75">
      <c r="D695" s="85"/>
      <c r="E695" s="85"/>
      <c r="F695" s="85"/>
      <c r="G695" s="85"/>
      <c r="H695" s="85"/>
      <c r="AF695" s="99"/>
    </row>
    <row r="696" spans="4:32" ht="15.75">
      <c r="D696" s="85"/>
      <c r="E696" s="85"/>
      <c r="F696" s="85"/>
      <c r="G696" s="85"/>
      <c r="H696" s="85"/>
      <c r="AF696" s="99"/>
    </row>
    <row r="697" spans="4:32" ht="15.75">
      <c r="D697" s="85"/>
      <c r="E697" s="85"/>
      <c r="F697" s="85"/>
      <c r="G697" s="85"/>
      <c r="H697" s="85"/>
      <c r="AF697" s="99"/>
    </row>
    <row r="698" spans="4:32" ht="15.75">
      <c r="D698" s="85"/>
      <c r="E698" s="85"/>
      <c r="F698" s="85"/>
      <c r="G698" s="85"/>
      <c r="H698" s="85"/>
      <c r="AF698" s="99"/>
    </row>
    <row r="699" spans="4:32" ht="15.75">
      <c r="D699" s="85"/>
      <c r="E699" s="85"/>
      <c r="F699" s="85"/>
      <c r="G699" s="85"/>
      <c r="H699" s="85"/>
      <c r="AF699" s="99"/>
    </row>
    <row r="700" spans="4:32" ht="15.75">
      <c r="D700" s="85"/>
      <c r="E700" s="85"/>
      <c r="F700" s="85"/>
      <c r="G700" s="85"/>
      <c r="H700" s="85"/>
      <c r="AF700" s="99"/>
    </row>
    <row r="701" spans="4:32" ht="15.75">
      <c r="D701" s="85"/>
      <c r="E701" s="85"/>
      <c r="F701" s="85"/>
      <c r="G701" s="85"/>
      <c r="H701" s="85"/>
      <c r="AF701" s="99"/>
    </row>
    <row r="702" spans="4:32" ht="15.75">
      <c r="D702" s="85"/>
      <c r="E702" s="85"/>
      <c r="F702" s="85"/>
      <c r="G702" s="85"/>
      <c r="H702" s="85"/>
      <c r="AF702" s="99"/>
    </row>
    <row r="703" spans="4:32" ht="15.75">
      <c r="D703" s="85"/>
      <c r="E703" s="85"/>
      <c r="F703" s="85"/>
      <c r="G703" s="85"/>
      <c r="H703" s="85"/>
      <c r="AF703" s="99"/>
    </row>
    <row r="704" spans="4:32" ht="15.75">
      <c r="D704" s="85"/>
      <c r="E704" s="85"/>
      <c r="F704" s="85"/>
      <c r="G704" s="85"/>
      <c r="H704" s="85"/>
      <c r="AF704" s="99"/>
    </row>
    <row r="705" spans="4:32" ht="15.75">
      <c r="D705" s="85"/>
      <c r="E705" s="85"/>
      <c r="F705" s="85"/>
      <c r="G705" s="85"/>
      <c r="H705" s="85"/>
      <c r="AF705" s="99"/>
    </row>
    <row r="706" spans="4:32" ht="15.75">
      <c r="D706" s="85"/>
      <c r="E706" s="85"/>
      <c r="F706" s="85"/>
      <c r="G706" s="85"/>
      <c r="H706" s="85"/>
      <c r="AF706" s="99"/>
    </row>
    <row r="707" spans="4:32" ht="15.75">
      <c r="D707" s="85"/>
      <c r="E707" s="85"/>
      <c r="F707" s="85"/>
      <c r="G707" s="85"/>
      <c r="H707" s="85"/>
      <c r="AF707" s="99"/>
    </row>
    <row r="708" spans="4:32" ht="15.75">
      <c r="D708" s="85"/>
      <c r="E708" s="85"/>
      <c r="F708" s="85"/>
      <c r="G708" s="85"/>
      <c r="H708" s="85"/>
      <c r="AF708" s="99"/>
    </row>
    <row r="709" spans="4:32" ht="15.75">
      <c r="D709" s="85"/>
      <c r="E709" s="85"/>
      <c r="F709" s="85"/>
      <c r="G709" s="85"/>
      <c r="H709" s="85"/>
      <c r="AF709" s="99"/>
    </row>
    <row r="710" spans="4:32" ht="15.75">
      <c r="D710" s="85"/>
      <c r="E710" s="85"/>
      <c r="F710" s="85"/>
      <c r="G710" s="85"/>
      <c r="H710" s="85"/>
      <c r="AF710" s="99"/>
    </row>
    <row r="711" spans="4:32" ht="15.75">
      <c r="D711" s="85"/>
      <c r="E711" s="85"/>
      <c r="F711" s="85"/>
      <c r="G711" s="85"/>
      <c r="H711" s="85"/>
      <c r="AF711" s="99"/>
    </row>
    <row r="712" spans="4:32" ht="15.75">
      <c r="D712" s="85"/>
      <c r="E712" s="85"/>
      <c r="F712" s="85"/>
      <c r="G712" s="85"/>
      <c r="H712" s="85"/>
      <c r="AF712" s="99"/>
    </row>
    <row r="713" spans="4:32" ht="15.75">
      <c r="D713" s="85"/>
      <c r="E713" s="85"/>
      <c r="F713" s="85"/>
      <c r="G713" s="85"/>
      <c r="H713" s="85"/>
      <c r="AF713" s="99"/>
    </row>
    <row r="714" spans="4:32" ht="15.75">
      <c r="D714" s="85"/>
      <c r="E714" s="85"/>
      <c r="F714" s="85"/>
      <c r="G714" s="85"/>
      <c r="H714" s="85"/>
      <c r="AF714" s="99"/>
    </row>
    <row r="715" spans="4:32" ht="15.75">
      <c r="D715" s="85"/>
      <c r="E715" s="85"/>
      <c r="F715" s="85"/>
      <c r="G715" s="85"/>
      <c r="H715" s="85"/>
      <c r="AF715" s="99"/>
    </row>
    <row r="716" spans="4:32" ht="15.75">
      <c r="D716" s="85"/>
      <c r="E716" s="85"/>
      <c r="F716" s="85"/>
      <c r="G716" s="85"/>
      <c r="H716" s="85"/>
      <c r="AF716" s="99"/>
    </row>
    <row r="717" spans="4:32" ht="15.75">
      <c r="D717" s="85"/>
      <c r="E717" s="85"/>
      <c r="F717" s="85"/>
      <c r="G717" s="85"/>
      <c r="H717" s="85"/>
      <c r="AF717" s="99"/>
    </row>
    <row r="718" spans="4:32" ht="15.75">
      <c r="D718" s="85"/>
      <c r="E718" s="85"/>
      <c r="F718" s="85"/>
      <c r="G718" s="85"/>
      <c r="H718" s="85"/>
      <c r="AF718" s="99"/>
    </row>
    <row r="719" spans="4:32" ht="15.75">
      <c r="D719" s="85"/>
      <c r="E719" s="85"/>
      <c r="F719" s="85"/>
      <c r="G719" s="85"/>
      <c r="H719" s="85"/>
      <c r="AF719" s="99"/>
    </row>
    <row r="720" spans="4:32" ht="15.75">
      <c r="D720" s="85"/>
      <c r="E720" s="85"/>
      <c r="F720" s="85"/>
      <c r="G720" s="85"/>
      <c r="H720" s="85"/>
      <c r="AF720" s="99"/>
    </row>
    <row r="721" spans="4:32" ht="15.75">
      <c r="D721" s="85"/>
      <c r="E721" s="85"/>
      <c r="F721" s="85"/>
      <c r="G721" s="85"/>
      <c r="H721" s="85"/>
      <c r="AF721" s="99"/>
    </row>
    <row r="722" spans="4:32" ht="15.75">
      <c r="D722" s="85"/>
      <c r="E722" s="85"/>
      <c r="F722" s="85"/>
      <c r="G722" s="85"/>
      <c r="H722" s="85"/>
      <c r="AF722" s="99"/>
    </row>
    <row r="723" spans="4:32" ht="15.75">
      <c r="D723" s="85"/>
      <c r="E723" s="85"/>
      <c r="F723" s="85"/>
      <c r="G723" s="85"/>
      <c r="H723" s="85"/>
      <c r="AF723" s="99"/>
    </row>
    <row r="724" spans="4:32" ht="15.75">
      <c r="D724" s="85"/>
      <c r="E724" s="85"/>
      <c r="F724" s="85"/>
      <c r="G724" s="85"/>
      <c r="H724" s="85"/>
      <c r="AF724" s="99"/>
    </row>
    <row r="725" spans="4:32" ht="15.75">
      <c r="D725" s="85"/>
      <c r="E725" s="85"/>
      <c r="F725" s="85"/>
      <c r="G725" s="85"/>
      <c r="H725" s="85"/>
      <c r="AF725" s="99"/>
    </row>
    <row r="726" spans="4:32" ht="15.75">
      <c r="D726" s="85"/>
      <c r="E726" s="85"/>
      <c r="F726" s="85"/>
      <c r="G726" s="85"/>
      <c r="H726" s="85"/>
      <c r="AF726" s="99"/>
    </row>
    <row r="727" spans="4:32" ht="15.75">
      <c r="D727" s="85"/>
      <c r="E727" s="85"/>
      <c r="F727" s="85"/>
      <c r="G727" s="85"/>
      <c r="H727" s="85"/>
      <c r="AF727" s="99"/>
    </row>
    <row r="728" spans="4:32" ht="15.75">
      <c r="D728" s="85"/>
      <c r="E728" s="85"/>
      <c r="F728" s="85"/>
      <c r="G728" s="85"/>
      <c r="H728" s="85"/>
      <c r="AF728" s="99"/>
    </row>
    <row r="729" spans="4:32" ht="15.75">
      <c r="D729" s="85"/>
      <c r="E729" s="85"/>
      <c r="F729" s="85"/>
      <c r="G729" s="85"/>
      <c r="H729" s="85"/>
      <c r="AF729" s="99"/>
    </row>
    <row r="730" spans="4:32" ht="15.75">
      <c r="D730" s="85"/>
      <c r="E730" s="85"/>
      <c r="F730" s="85"/>
      <c r="G730" s="85"/>
      <c r="H730" s="85"/>
      <c r="AF730" s="99"/>
    </row>
    <row r="731" spans="4:32" ht="15.75">
      <c r="D731" s="85"/>
      <c r="E731" s="85"/>
      <c r="F731" s="85"/>
      <c r="G731" s="85"/>
      <c r="H731" s="85"/>
      <c r="AF731" s="99"/>
    </row>
    <row r="732" spans="4:32" ht="15.75">
      <c r="D732" s="85"/>
      <c r="E732" s="85"/>
      <c r="F732" s="85"/>
      <c r="G732" s="85"/>
      <c r="H732" s="85"/>
      <c r="AF732" s="99"/>
    </row>
    <row r="733" spans="4:32" ht="15.75">
      <c r="D733" s="85"/>
      <c r="E733" s="85"/>
      <c r="F733" s="85"/>
      <c r="G733" s="85"/>
      <c r="H733" s="85"/>
      <c r="AF733" s="99"/>
    </row>
    <row r="734" spans="4:32" ht="15.75">
      <c r="D734" s="85"/>
      <c r="E734" s="85"/>
      <c r="F734" s="85"/>
      <c r="G734" s="85"/>
      <c r="H734" s="85"/>
      <c r="AF734" s="99"/>
    </row>
    <row r="735" spans="4:32" ht="15.75">
      <c r="D735" s="85"/>
      <c r="E735" s="85"/>
      <c r="F735" s="85"/>
      <c r="G735" s="85"/>
      <c r="H735" s="85"/>
      <c r="AF735" s="99"/>
    </row>
    <row r="736" spans="4:32" ht="15.75">
      <c r="D736" s="85"/>
      <c r="E736" s="85"/>
      <c r="F736" s="85"/>
      <c r="G736" s="85"/>
      <c r="H736" s="85"/>
      <c r="AF736" s="99"/>
    </row>
    <row r="737" spans="4:32" ht="15.75">
      <c r="D737" s="85"/>
      <c r="E737" s="85"/>
      <c r="F737" s="85"/>
      <c r="G737" s="85"/>
      <c r="H737" s="85"/>
      <c r="AF737" s="99"/>
    </row>
    <row r="738" spans="4:32" ht="15.75">
      <c r="D738" s="85"/>
      <c r="E738" s="85"/>
      <c r="F738" s="85"/>
      <c r="G738" s="85"/>
      <c r="H738" s="85"/>
      <c r="AF738" s="99"/>
    </row>
    <row r="739" spans="4:32" ht="15.75">
      <c r="D739" s="85"/>
      <c r="E739" s="85"/>
      <c r="F739" s="85"/>
      <c r="G739" s="85"/>
      <c r="H739" s="85"/>
      <c r="AF739" s="99"/>
    </row>
    <row r="740" spans="4:32" ht="15.75">
      <c r="D740" s="85"/>
      <c r="E740" s="85"/>
      <c r="F740" s="85"/>
      <c r="G740" s="85"/>
      <c r="H740" s="85"/>
      <c r="AF740" s="99"/>
    </row>
    <row r="741" spans="4:32" ht="15.75">
      <c r="D741" s="85"/>
      <c r="E741" s="85"/>
      <c r="F741" s="85"/>
      <c r="G741" s="85"/>
      <c r="H741" s="85"/>
      <c r="AF741" s="99"/>
    </row>
    <row r="742" spans="4:32" ht="15.75">
      <c r="D742" s="85"/>
      <c r="E742" s="85"/>
      <c r="F742" s="85"/>
      <c r="G742" s="85"/>
      <c r="H742" s="85"/>
      <c r="AF742" s="99"/>
    </row>
    <row r="743" spans="4:32" ht="15.75">
      <c r="D743" s="85"/>
      <c r="E743" s="85"/>
      <c r="F743" s="85"/>
      <c r="G743" s="85"/>
      <c r="H743" s="85"/>
      <c r="AF743" s="99"/>
    </row>
    <row r="744" spans="4:32" ht="15.75">
      <c r="D744" s="85"/>
      <c r="E744" s="85"/>
      <c r="F744" s="85"/>
      <c r="G744" s="85"/>
      <c r="H744" s="85"/>
      <c r="AF744" s="99"/>
    </row>
    <row r="745" spans="4:32" ht="15.75">
      <c r="D745" s="85"/>
      <c r="E745" s="85"/>
      <c r="F745" s="85"/>
      <c r="G745" s="85"/>
      <c r="H745" s="85"/>
      <c r="AF745" s="99"/>
    </row>
    <row r="746" spans="4:32" ht="15.75">
      <c r="D746" s="85"/>
      <c r="E746" s="85"/>
      <c r="F746" s="85"/>
      <c r="G746" s="85"/>
      <c r="H746" s="85"/>
      <c r="AF746" s="99"/>
    </row>
    <row r="747" spans="4:32" ht="15.75">
      <c r="D747" s="85"/>
      <c r="E747" s="85"/>
      <c r="F747" s="85"/>
      <c r="G747" s="85"/>
      <c r="H747" s="85"/>
      <c r="AF747" s="99"/>
    </row>
    <row r="748" spans="4:32" ht="15.75">
      <c r="D748" s="85"/>
      <c r="E748" s="85"/>
      <c r="F748" s="85"/>
      <c r="G748" s="85"/>
      <c r="H748" s="85"/>
      <c r="AF748" s="99"/>
    </row>
    <row r="749" spans="4:32" ht="15.75">
      <c r="D749" s="85"/>
      <c r="E749" s="85"/>
      <c r="F749" s="85"/>
      <c r="G749" s="85"/>
      <c r="H749" s="85"/>
      <c r="AF749" s="99"/>
    </row>
    <row r="750" spans="4:32" ht="15.75">
      <c r="D750" s="85"/>
      <c r="E750" s="85"/>
      <c r="F750" s="85"/>
      <c r="G750" s="85"/>
      <c r="H750" s="85"/>
      <c r="AF750" s="99"/>
    </row>
    <row r="751" spans="4:32" ht="15.75">
      <c r="D751" s="85"/>
      <c r="E751" s="85"/>
      <c r="F751" s="85"/>
      <c r="G751" s="85"/>
      <c r="H751" s="85"/>
      <c r="AF751" s="99"/>
    </row>
    <row r="752" spans="4:32" ht="15.75">
      <c r="D752" s="85"/>
      <c r="E752" s="85"/>
      <c r="F752" s="85"/>
      <c r="G752" s="85"/>
      <c r="H752" s="85"/>
      <c r="AF752" s="99"/>
    </row>
    <row r="753" spans="4:32" ht="15.75">
      <c r="D753" s="85"/>
      <c r="E753" s="85"/>
      <c r="F753" s="85"/>
      <c r="G753" s="85"/>
      <c r="H753" s="85"/>
      <c r="AF753" s="99"/>
    </row>
    <row r="754" spans="4:32" ht="15.75">
      <c r="D754" s="85"/>
      <c r="E754" s="85"/>
      <c r="F754" s="85"/>
      <c r="G754" s="85"/>
      <c r="H754" s="85"/>
      <c r="AF754" s="99"/>
    </row>
    <row r="755" spans="4:32" ht="15.75">
      <c r="D755" s="85"/>
      <c r="E755" s="85"/>
      <c r="F755" s="85"/>
      <c r="G755" s="85"/>
      <c r="H755" s="85"/>
      <c r="AF755" s="99"/>
    </row>
    <row r="756" spans="4:32" ht="15.75">
      <c r="D756" s="85"/>
      <c r="E756" s="85"/>
      <c r="F756" s="85"/>
      <c r="G756" s="85"/>
      <c r="H756" s="85"/>
      <c r="AF756" s="99"/>
    </row>
    <row r="757" spans="4:32" ht="15.75">
      <c r="D757" s="85"/>
      <c r="E757" s="85"/>
      <c r="F757" s="85"/>
      <c r="G757" s="85"/>
      <c r="H757" s="85"/>
      <c r="AF757" s="99"/>
    </row>
    <row r="758" spans="4:32" ht="15.75">
      <c r="D758" s="85"/>
      <c r="E758" s="85"/>
      <c r="F758" s="85"/>
      <c r="G758" s="85"/>
      <c r="H758" s="85"/>
      <c r="AF758" s="99"/>
    </row>
    <row r="759" spans="4:32" ht="15.75">
      <c r="D759" s="85"/>
      <c r="E759" s="85"/>
      <c r="F759" s="85"/>
      <c r="G759" s="85"/>
      <c r="H759" s="85"/>
      <c r="AF759" s="99"/>
    </row>
    <row r="760" spans="4:32" ht="15.75">
      <c r="D760" s="85"/>
      <c r="E760" s="85"/>
      <c r="F760" s="85"/>
      <c r="G760" s="85"/>
      <c r="H760" s="85"/>
      <c r="AF760" s="99"/>
    </row>
    <row r="761" spans="4:32" ht="15.75">
      <c r="D761" s="85"/>
      <c r="E761" s="85"/>
      <c r="F761" s="85"/>
      <c r="G761" s="85"/>
      <c r="H761" s="85"/>
      <c r="AF761" s="99"/>
    </row>
    <row r="762" spans="4:32" ht="15.75">
      <c r="D762" s="85"/>
      <c r="E762" s="85"/>
      <c r="F762" s="85"/>
      <c r="G762" s="85"/>
      <c r="H762" s="85"/>
      <c r="AF762" s="99"/>
    </row>
    <row r="763" spans="4:32" ht="15.75">
      <c r="D763" s="85"/>
      <c r="E763" s="85"/>
      <c r="F763" s="85"/>
      <c r="G763" s="85"/>
      <c r="H763" s="85"/>
      <c r="AF763" s="99"/>
    </row>
    <row r="764" spans="4:32" ht="15.75">
      <c r="D764" s="85"/>
      <c r="E764" s="85"/>
      <c r="F764" s="85"/>
      <c r="G764" s="85"/>
      <c r="H764" s="85"/>
      <c r="AF764" s="99"/>
    </row>
    <row r="765" spans="4:32" ht="15.75">
      <c r="D765" s="85"/>
      <c r="E765" s="85"/>
      <c r="F765" s="85"/>
      <c r="G765" s="85"/>
      <c r="H765" s="85"/>
      <c r="AF765" s="99"/>
    </row>
    <row r="766" spans="4:32" ht="15.75">
      <c r="D766" s="85"/>
      <c r="E766" s="85"/>
      <c r="F766" s="85"/>
      <c r="G766" s="85"/>
      <c r="H766" s="85"/>
      <c r="AF766" s="99"/>
    </row>
    <row r="767" spans="4:32" ht="15.75">
      <c r="D767" s="85"/>
      <c r="E767" s="85"/>
      <c r="F767" s="85"/>
      <c r="G767" s="85"/>
      <c r="H767" s="85"/>
      <c r="AF767" s="99"/>
    </row>
    <row r="768" spans="4:32" ht="15.75">
      <c r="D768" s="85"/>
      <c r="E768" s="85"/>
      <c r="F768" s="85"/>
      <c r="G768" s="85"/>
      <c r="H768" s="85"/>
      <c r="AF768" s="99"/>
    </row>
    <row r="769" spans="4:32" ht="15.75">
      <c r="D769" s="85"/>
      <c r="E769" s="85"/>
      <c r="F769" s="85"/>
      <c r="G769" s="85"/>
      <c r="H769" s="85"/>
      <c r="AF769" s="99"/>
    </row>
    <row r="770" spans="4:32" ht="15.75">
      <c r="D770" s="85"/>
      <c r="E770" s="85"/>
      <c r="F770" s="85"/>
      <c r="G770" s="85"/>
      <c r="H770" s="85"/>
      <c r="AF770" s="99"/>
    </row>
    <row r="771" spans="4:32" ht="15.75">
      <c r="D771" s="85"/>
      <c r="E771" s="85"/>
      <c r="F771" s="85"/>
      <c r="G771" s="85"/>
      <c r="H771" s="85"/>
      <c r="AF771" s="99"/>
    </row>
    <row r="772" spans="4:32" ht="15.75">
      <c r="D772" s="85"/>
      <c r="E772" s="85"/>
      <c r="F772" s="85"/>
      <c r="G772" s="85"/>
      <c r="H772" s="85"/>
      <c r="AF772" s="99"/>
    </row>
    <row r="773" spans="4:32" ht="15.75">
      <c r="D773" s="85"/>
      <c r="E773" s="85"/>
      <c r="F773" s="85"/>
      <c r="G773" s="85"/>
      <c r="H773" s="85"/>
      <c r="AF773" s="99"/>
    </row>
    <row r="774" spans="4:32" ht="15.75">
      <c r="D774" s="85"/>
      <c r="E774" s="85"/>
      <c r="F774" s="85"/>
      <c r="G774" s="85"/>
      <c r="H774" s="85"/>
      <c r="AF774" s="99"/>
    </row>
    <row r="775" spans="4:32" ht="15.75">
      <c r="D775" s="85"/>
      <c r="E775" s="85"/>
      <c r="F775" s="85"/>
      <c r="G775" s="85"/>
      <c r="H775" s="85"/>
      <c r="AF775" s="99"/>
    </row>
    <row r="776" spans="4:32" ht="15.75">
      <c r="D776" s="85"/>
      <c r="E776" s="85"/>
      <c r="F776" s="85"/>
      <c r="G776" s="85"/>
      <c r="H776" s="85"/>
      <c r="AF776" s="99"/>
    </row>
    <row r="777" spans="4:32" ht="15.75">
      <c r="D777" s="85"/>
      <c r="E777" s="85"/>
      <c r="F777" s="85"/>
      <c r="G777" s="85"/>
      <c r="H777" s="85"/>
      <c r="AF777" s="99"/>
    </row>
    <row r="778" spans="4:32" ht="15.75">
      <c r="D778" s="85"/>
      <c r="E778" s="85"/>
      <c r="F778" s="85"/>
      <c r="G778" s="85"/>
      <c r="H778" s="85"/>
      <c r="AF778" s="99"/>
    </row>
    <row r="779" spans="4:32" ht="15.75">
      <c r="D779" s="85"/>
      <c r="E779" s="85"/>
      <c r="F779" s="85"/>
      <c r="G779" s="85"/>
      <c r="H779" s="85"/>
      <c r="AF779" s="99"/>
    </row>
    <row r="780" spans="4:32" ht="15.75">
      <c r="D780" s="85"/>
      <c r="E780" s="85"/>
      <c r="F780" s="85"/>
      <c r="G780" s="85"/>
      <c r="H780" s="85"/>
      <c r="AF780" s="99"/>
    </row>
    <row r="781" spans="4:32" ht="15.75">
      <c r="D781" s="85"/>
      <c r="E781" s="85"/>
      <c r="F781" s="85"/>
      <c r="G781" s="85"/>
      <c r="H781" s="85"/>
      <c r="AF781" s="99"/>
    </row>
    <row r="782" spans="4:32" ht="15.75">
      <c r="D782" s="85"/>
      <c r="E782" s="85"/>
      <c r="F782" s="85"/>
      <c r="G782" s="85"/>
      <c r="H782" s="85"/>
      <c r="AF782" s="99"/>
    </row>
    <row r="783" spans="4:32" ht="15.75">
      <c r="D783" s="85"/>
      <c r="E783" s="85"/>
      <c r="F783" s="85"/>
      <c r="G783" s="85"/>
      <c r="H783" s="85"/>
      <c r="AF783" s="99"/>
    </row>
    <row r="784" spans="4:32" ht="15.75">
      <c r="D784" s="85"/>
      <c r="E784" s="85"/>
      <c r="F784" s="85"/>
      <c r="G784" s="85"/>
      <c r="H784" s="85"/>
      <c r="AF784" s="99"/>
    </row>
    <row r="785" spans="4:32" ht="15.75">
      <c r="D785" s="85"/>
      <c r="E785" s="85"/>
      <c r="F785" s="85"/>
      <c r="G785" s="85"/>
      <c r="H785" s="85"/>
      <c r="AF785" s="99"/>
    </row>
    <row r="786" spans="4:32" ht="15.75">
      <c r="D786" s="85"/>
      <c r="E786" s="85"/>
      <c r="F786" s="85"/>
      <c r="G786" s="85"/>
      <c r="H786" s="85"/>
      <c r="AF786" s="99"/>
    </row>
    <row r="787" spans="4:32" ht="15.75">
      <c r="D787" s="85"/>
      <c r="E787" s="85"/>
      <c r="F787" s="85"/>
      <c r="G787" s="85"/>
      <c r="H787" s="85"/>
      <c r="AF787" s="99"/>
    </row>
    <row r="788" spans="4:32" ht="15.75">
      <c r="D788" s="85"/>
      <c r="E788" s="85"/>
      <c r="F788" s="85"/>
      <c r="G788" s="85"/>
      <c r="H788" s="85"/>
      <c r="AF788" s="99"/>
    </row>
    <row r="789" spans="4:32" ht="15.75">
      <c r="D789" s="85"/>
      <c r="E789" s="85"/>
      <c r="F789" s="85"/>
      <c r="G789" s="85"/>
      <c r="H789" s="85"/>
      <c r="AF789" s="99"/>
    </row>
    <row r="790" spans="4:32" ht="15.75">
      <c r="D790" s="85"/>
      <c r="E790" s="85"/>
      <c r="F790" s="85"/>
      <c r="G790" s="85"/>
      <c r="H790" s="85"/>
      <c r="AF790" s="99"/>
    </row>
    <row r="791" spans="4:32" ht="15.75">
      <c r="D791" s="85"/>
      <c r="E791" s="85"/>
      <c r="F791" s="85"/>
      <c r="G791" s="85"/>
      <c r="H791" s="85"/>
      <c r="AF791" s="99"/>
    </row>
    <row r="792" spans="4:32" ht="15.75">
      <c r="D792" s="85"/>
      <c r="E792" s="85"/>
      <c r="F792" s="85"/>
      <c r="G792" s="85"/>
      <c r="H792" s="85"/>
      <c r="AF792" s="99"/>
    </row>
    <row r="793" spans="4:32" ht="15.75">
      <c r="D793" s="85"/>
      <c r="E793" s="85"/>
      <c r="F793" s="85"/>
      <c r="G793" s="85"/>
      <c r="H793" s="85"/>
      <c r="AF793" s="99"/>
    </row>
    <row r="794" spans="4:32" ht="15.75">
      <c r="D794" s="85"/>
      <c r="E794" s="85"/>
      <c r="F794" s="85"/>
      <c r="G794" s="85"/>
      <c r="H794" s="85"/>
      <c r="AF794" s="99"/>
    </row>
    <row r="795" spans="4:32" ht="15.75">
      <c r="D795" s="85"/>
      <c r="E795" s="85"/>
      <c r="F795" s="85"/>
      <c r="G795" s="85"/>
      <c r="H795" s="85"/>
      <c r="AF795" s="99"/>
    </row>
    <row r="796" spans="4:32" ht="15.75">
      <c r="D796" s="85"/>
      <c r="E796" s="85"/>
      <c r="F796" s="85"/>
      <c r="G796" s="85"/>
      <c r="H796" s="85"/>
      <c r="AF796" s="99"/>
    </row>
    <row r="797" spans="4:32" ht="15.75">
      <c r="D797" s="85"/>
      <c r="E797" s="85"/>
      <c r="F797" s="85"/>
      <c r="G797" s="85"/>
      <c r="H797" s="85"/>
      <c r="AF797" s="99"/>
    </row>
    <row r="798" spans="4:32" ht="15.75">
      <c r="D798" s="85"/>
      <c r="E798" s="85"/>
      <c r="F798" s="85"/>
      <c r="G798" s="85"/>
      <c r="H798" s="85"/>
      <c r="AF798" s="99"/>
    </row>
    <row r="799" spans="4:32" ht="15.75">
      <c r="D799" s="85"/>
      <c r="E799" s="85"/>
      <c r="F799" s="85"/>
      <c r="G799" s="85"/>
      <c r="H799" s="85"/>
      <c r="AF799" s="99"/>
    </row>
    <row r="800" spans="4:32" ht="15.75">
      <c r="D800" s="85"/>
      <c r="E800" s="85"/>
      <c r="F800" s="85"/>
      <c r="G800" s="85"/>
      <c r="H800" s="85"/>
      <c r="AF800" s="99"/>
    </row>
    <row r="801" spans="4:32" ht="15.75">
      <c r="D801" s="85"/>
      <c r="E801" s="85"/>
      <c r="F801" s="85"/>
      <c r="G801" s="85"/>
      <c r="H801" s="85"/>
      <c r="AF801" s="99"/>
    </row>
    <row r="802" spans="4:32" ht="15.75">
      <c r="D802" s="85"/>
      <c r="E802" s="85"/>
      <c r="F802" s="85"/>
      <c r="G802" s="85"/>
      <c r="H802" s="85"/>
      <c r="AF802" s="99"/>
    </row>
    <row r="803" spans="4:32" ht="15.75">
      <c r="D803" s="85"/>
      <c r="E803" s="85"/>
      <c r="F803" s="85"/>
      <c r="G803" s="85"/>
      <c r="H803" s="85"/>
      <c r="AF803" s="99"/>
    </row>
    <row r="804" spans="4:32" ht="15.75">
      <c r="D804" s="85"/>
      <c r="E804" s="85"/>
      <c r="F804" s="85"/>
      <c r="G804" s="85"/>
      <c r="H804" s="85"/>
      <c r="AF804" s="99"/>
    </row>
    <row r="805" spans="4:32" ht="15.75">
      <c r="D805" s="85"/>
      <c r="E805" s="85"/>
      <c r="F805" s="85"/>
      <c r="G805" s="85"/>
      <c r="H805" s="85"/>
      <c r="AF805" s="99"/>
    </row>
    <row r="806" spans="4:32" ht="15.75">
      <c r="D806" s="85"/>
      <c r="E806" s="85"/>
      <c r="F806" s="85"/>
      <c r="G806" s="85"/>
      <c r="H806" s="85"/>
      <c r="AF806" s="99"/>
    </row>
    <row r="807" spans="4:32" ht="15.75">
      <c r="D807" s="85"/>
      <c r="E807" s="85"/>
      <c r="F807" s="85"/>
      <c r="G807" s="85"/>
      <c r="H807" s="85"/>
      <c r="AF807" s="99"/>
    </row>
    <row r="808" spans="4:32" ht="15.75">
      <c r="D808" s="85"/>
      <c r="E808" s="85"/>
      <c r="F808" s="85"/>
      <c r="G808" s="85"/>
      <c r="H808" s="85"/>
      <c r="AF808" s="99"/>
    </row>
    <row r="809" spans="4:32" ht="15.75">
      <c r="D809" s="85"/>
      <c r="E809" s="85"/>
      <c r="F809" s="85"/>
      <c r="G809" s="85"/>
      <c r="H809" s="85"/>
      <c r="AF809" s="99"/>
    </row>
    <row r="810" spans="4:32" ht="15.75">
      <c r="D810" s="85"/>
      <c r="E810" s="85"/>
      <c r="F810" s="85"/>
      <c r="G810" s="85"/>
      <c r="H810" s="85"/>
      <c r="AF810" s="99"/>
    </row>
    <row r="811" spans="4:32" ht="15.75">
      <c r="D811" s="85"/>
      <c r="E811" s="85"/>
      <c r="F811" s="85"/>
      <c r="G811" s="85"/>
      <c r="H811" s="85"/>
      <c r="AF811" s="99"/>
    </row>
    <row r="812" spans="4:32" ht="15.75">
      <c r="D812" s="85"/>
      <c r="E812" s="85"/>
      <c r="F812" s="85"/>
      <c r="G812" s="85"/>
      <c r="H812" s="85"/>
      <c r="AF812" s="99"/>
    </row>
    <row r="813" spans="4:32" ht="15.75">
      <c r="D813" s="85"/>
      <c r="E813" s="85"/>
      <c r="F813" s="85"/>
      <c r="G813" s="85"/>
      <c r="H813" s="85"/>
      <c r="AF813" s="99"/>
    </row>
    <row r="814" spans="4:32" ht="15.75">
      <c r="D814" s="85"/>
      <c r="E814" s="85"/>
      <c r="F814" s="85"/>
      <c r="G814" s="85"/>
      <c r="H814" s="85"/>
      <c r="AF814" s="99"/>
    </row>
    <row r="815" spans="4:32" ht="15.75">
      <c r="D815" s="85"/>
      <c r="E815" s="85"/>
      <c r="F815" s="85"/>
      <c r="G815" s="85"/>
      <c r="H815" s="85"/>
      <c r="AF815" s="99"/>
    </row>
    <row r="816" spans="4:32" ht="15.75">
      <c r="D816" s="85"/>
      <c r="E816" s="85"/>
      <c r="F816" s="85"/>
      <c r="G816" s="85"/>
      <c r="H816" s="85"/>
      <c r="AF816" s="99"/>
    </row>
    <row r="817" spans="4:32" ht="15.75">
      <c r="D817" s="85"/>
      <c r="E817" s="85"/>
      <c r="F817" s="85"/>
      <c r="G817" s="85"/>
      <c r="H817" s="85"/>
      <c r="AF817" s="99"/>
    </row>
    <row r="818" spans="4:32" ht="15.75">
      <c r="D818" s="85"/>
      <c r="E818" s="85"/>
      <c r="F818" s="85"/>
      <c r="G818" s="85"/>
      <c r="H818" s="85"/>
      <c r="AF818" s="99"/>
    </row>
    <row r="819" spans="4:32" ht="15.75">
      <c r="D819" s="85"/>
      <c r="E819" s="85"/>
      <c r="F819" s="85"/>
      <c r="G819" s="85"/>
      <c r="H819" s="85"/>
      <c r="AF819" s="99"/>
    </row>
    <row r="820" spans="4:32" ht="15.75">
      <c r="D820" s="85"/>
      <c r="E820" s="85"/>
      <c r="F820" s="85"/>
      <c r="G820" s="85"/>
      <c r="H820" s="85"/>
      <c r="AF820" s="99"/>
    </row>
    <row r="821" spans="4:32" ht="15.75">
      <c r="D821" s="85"/>
      <c r="E821" s="85"/>
      <c r="F821" s="85"/>
      <c r="G821" s="85"/>
      <c r="H821" s="85"/>
      <c r="AF821" s="99"/>
    </row>
    <row r="822" spans="4:32" ht="15.75">
      <c r="D822" s="85"/>
      <c r="E822" s="85"/>
      <c r="F822" s="85"/>
      <c r="G822" s="85"/>
      <c r="H822" s="85"/>
      <c r="AF822" s="99"/>
    </row>
    <row r="823" spans="4:32" ht="15.75">
      <c r="D823" s="85"/>
      <c r="E823" s="85"/>
      <c r="F823" s="85"/>
      <c r="G823" s="85"/>
      <c r="H823" s="85"/>
      <c r="AF823" s="99"/>
    </row>
    <row r="824" spans="4:32" ht="15.75">
      <c r="D824" s="85"/>
      <c r="E824" s="85"/>
      <c r="F824" s="85"/>
      <c r="G824" s="85"/>
      <c r="H824" s="85"/>
      <c r="AF824" s="99"/>
    </row>
    <row r="825" spans="4:32" ht="15.75">
      <c r="D825" s="85"/>
      <c r="E825" s="85"/>
      <c r="F825" s="85"/>
      <c r="G825" s="85"/>
      <c r="H825" s="85"/>
      <c r="AF825" s="99"/>
    </row>
    <row r="826" spans="4:32" ht="15.75">
      <c r="D826" s="85"/>
      <c r="E826" s="85"/>
      <c r="F826" s="85"/>
      <c r="G826" s="85"/>
      <c r="H826" s="85"/>
      <c r="AF826" s="99"/>
    </row>
    <row r="827" spans="4:32" ht="15.75">
      <c r="D827" s="85"/>
      <c r="E827" s="85"/>
      <c r="F827" s="85"/>
      <c r="G827" s="85"/>
      <c r="H827" s="85"/>
      <c r="AF827" s="99"/>
    </row>
    <row r="828" spans="4:32" ht="15.75">
      <c r="D828" s="85"/>
      <c r="E828" s="85"/>
      <c r="F828" s="85"/>
      <c r="G828" s="85"/>
      <c r="H828" s="85"/>
      <c r="AF828" s="99"/>
    </row>
    <row r="829" spans="4:32" ht="15.75">
      <c r="D829" s="85"/>
      <c r="E829" s="85"/>
      <c r="F829" s="85"/>
      <c r="G829" s="85"/>
      <c r="H829" s="85"/>
      <c r="AF829" s="99"/>
    </row>
    <row r="830" spans="4:32" ht="15.75">
      <c r="D830" s="85"/>
      <c r="E830" s="85"/>
      <c r="F830" s="85"/>
      <c r="G830" s="85"/>
      <c r="H830" s="85"/>
      <c r="AF830" s="99"/>
    </row>
    <row r="831" spans="4:32" ht="15.75">
      <c r="D831" s="85"/>
      <c r="E831" s="85"/>
      <c r="F831" s="85"/>
      <c r="G831" s="85"/>
      <c r="H831" s="85"/>
      <c r="AF831" s="99"/>
    </row>
    <row r="832" spans="4:32" ht="15.75">
      <c r="D832" s="85"/>
      <c r="E832" s="85"/>
      <c r="F832" s="85"/>
      <c r="G832" s="85"/>
      <c r="H832" s="85"/>
      <c r="AF832" s="99"/>
    </row>
    <row r="833" spans="4:32" ht="15.75">
      <c r="D833" s="85"/>
      <c r="E833" s="85"/>
      <c r="F833" s="85"/>
      <c r="G833" s="85"/>
      <c r="H833" s="85"/>
      <c r="AF833" s="99"/>
    </row>
    <row r="834" spans="4:32" ht="15.75">
      <c r="D834" s="85"/>
      <c r="E834" s="85"/>
      <c r="F834" s="85"/>
      <c r="G834" s="85"/>
      <c r="H834" s="85"/>
      <c r="AF834" s="99"/>
    </row>
    <row r="835" spans="4:32" ht="15.75">
      <c r="D835" s="85"/>
      <c r="E835" s="85"/>
      <c r="F835" s="85"/>
      <c r="G835" s="85"/>
      <c r="H835" s="85"/>
      <c r="AF835" s="99"/>
    </row>
    <row r="836" spans="4:32" ht="15.75">
      <c r="D836" s="85"/>
      <c r="E836" s="85"/>
      <c r="F836" s="85"/>
      <c r="G836" s="85"/>
      <c r="H836" s="85"/>
      <c r="AF836" s="99"/>
    </row>
    <row r="837" spans="4:32" ht="15.75">
      <c r="D837" s="85"/>
      <c r="E837" s="85"/>
      <c r="F837" s="85"/>
      <c r="G837" s="85"/>
      <c r="H837" s="85"/>
      <c r="AF837" s="99"/>
    </row>
    <row r="838" spans="4:32" ht="15.75">
      <c r="D838" s="85"/>
      <c r="E838" s="85"/>
      <c r="F838" s="85"/>
      <c r="G838" s="85"/>
      <c r="H838" s="85"/>
      <c r="AF838" s="99"/>
    </row>
    <row r="839" spans="4:32" ht="15.75">
      <c r="D839" s="85"/>
      <c r="E839" s="85"/>
      <c r="F839" s="85"/>
      <c r="G839" s="85"/>
      <c r="H839" s="85"/>
      <c r="AF839" s="99"/>
    </row>
    <row r="840" spans="4:32" ht="15.75">
      <c r="D840" s="85"/>
      <c r="E840" s="85"/>
      <c r="F840" s="85"/>
      <c r="G840" s="85"/>
      <c r="H840" s="85"/>
      <c r="AF840" s="99"/>
    </row>
    <row r="841" spans="4:32" ht="15.75">
      <c r="D841" s="85"/>
      <c r="E841" s="85"/>
      <c r="F841" s="85"/>
      <c r="G841" s="85"/>
      <c r="H841" s="85"/>
      <c r="AF841" s="99"/>
    </row>
    <row r="842" spans="4:32" ht="15.75">
      <c r="D842" s="85"/>
      <c r="E842" s="85"/>
      <c r="F842" s="85"/>
      <c r="G842" s="85"/>
      <c r="H842" s="85"/>
      <c r="AF842" s="99"/>
    </row>
    <row r="843" spans="4:32" ht="15.75">
      <c r="D843" s="85"/>
      <c r="E843" s="85"/>
      <c r="F843" s="85"/>
      <c r="G843" s="85"/>
      <c r="H843" s="85"/>
      <c r="AF843" s="99"/>
    </row>
    <row r="844" spans="4:32" ht="15.75">
      <c r="D844" s="85"/>
      <c r="E844" s="85"/>
      <c r="F844" s="85"/>
      <c r="G844" s="85"/>
      <c r="H844" s="85"/>
      <c r="AF844" s="99"/>
    </row>
    <row r="845" spans="4:32" ht="15.75">
      <c r="D845" s="85"/>
      <c r="E845" s="85"/>
      <c r="F845" s="85"/>
      <c r="G845" s="85"/>
      <c r="H845" s="85"/>
      <c r="AF845" s="99"/>
    </row>
    <row r="846" spans="4:32" ht="15.75">
      <c r="D846" s="85"/>
      <c r="E846" s="85"/>
      <c r="F846" s="85"/>
      <c r="G846" s="85"/>
      <c r="H846" s="85"/>
      <c r="AF846" s="99"/>
    </row>
    <row r="847" spans="4:32" ht="15.75">
      <c r="D847" s="85"/>
      <c r="E847" s="85"/>
      <c r="F847" s="85"/>
      <c r="G847" s="85"/>
      <c r="H847" s="85"/>
      <c r="AF847" s="99"/>
    </row>
    <row r="848" spans="4:32" ht="15.75">
      <c r="D848" s="85"/>
      <c r="E848" s="85"/>
      <c r="F848" s="85"/>
      <c r="G848" s="85"/>
      <c r="H848" s="85"/>
      <c r="AF848" s="99"/>
    </row>
    <row r="849" spans="4:32" ht="15.75">
      <c r="D849" s="85"/>
      <c r="E849" s="85"/>
      <c r="F849" s="85"/>
      <c r="G849" s="85"/>
      <c r="H849" s="85"/>
      <c r="AF849" s="99"/>
    </row>
    <row r="850" spans="4:32" ht="15.75">
      <c r="D850" s="85"/>
      <c r="E850" s="85"/>
      <c r="F850" s="85"/>
      <c r="G850" s="85"/>
      <c r="H850" s="85"/>
      <c r="AF850" s="99"/>
    </row>
    <row r="851" spans="4:32" ht="15.75">
      <c r="D851" s="85"/>
      <c r="E851" s="85"/>
      <c r="F851" s="85"/>
      <c r="G851" s="85"/>
      <c r="H851" s="85"/>
      <c r="AF851" s="99"/>
    </row>
    <row r="852" spans="4:32" ht="15.75">
      <c r="D852" s="85"/>
      <c r="E852" s="85"/>
      <c r="F852" s="85"/>
      <c r="G852" s="85"/>
      <c r="H852" s="85"/>
      <c r="AF852" s="99"/>
    </row>
    <row r="853" spans="4:32" ht="15.75">
      <c r="D853" s="85"/>
      <c r="E853" s="85"/>
      <c r="F853" s="85"/>
      <c r="G853" s="85"/>
      <c r="H853" s="85"/>
      <c r="AF853" s="99"/>
    </row>
    <row r="854" spans="4:32" ht="15.75">
      <c r="D854" s="85"/>
      <c r="E854" s="85"/>
      <c r="F854" s="85"/>
      <c r="G854" s="85"/>
      <c r="H854" s="85"/>
      <c r="AF854" s="99"/>
    </row>
    <row r="855" spans="4:32" ht="15.75">
      <c r="D855" s="85"/>
      <c r="E855" s="85"/>
      <c r="F855" s="85"/>
      <c r="G855" s="85"/>
      <c r="H855" s="85"/>
      <c r="AF855" s="99"/>
    </row>
    <row r="856" spans="4:32" ht="15.75">
      <c r="D856" s="85"/>
      <c r="E856" s="85"/>
      <c r="F856" s="85"/>
      <c r="G856" s="85"/>
      <c r="H856" s="85"/>
      <c r="AF856" s="99"/>
    </row>
    <row r="857" spans="4:32" ht="15.75">
      <c r="D857" s="85"/>
      <c r="E857" s="85"/>
      <c r="F857" s="85"/>
      <c r="G857" s="85"/>
      <c r="H857" s="85"/>
      <c r="AF857" s="99"/>
    </row>
    <row r="858" spans="4:32" ht="15.75">
      <c r="D858" s="85"/>
      <c r="E858" s="85"/>
      <c r="F858" s="85"/>
      <c r="G858" s="85"/>
      <c r="H858" s="85"/>
      <c r="AF858" s="99"/>
    </row>
    <row r="859" spans="4:32" ht="15.75">
      <c r="D859" s="85"/>
      <c r="E859" s="85"/>
      <c r="F859" s="85"/>
      <c r="G859" s="85"/>
      <c r="H859" s="85"/>
      <c r="AF859" s="99"/>
    </row>
    <row r="860" spans="4:32" ht="15.75">
      <c r="D860" s="85"/>
      <c r="E860" s="85"/>
      <c r="F860" s="85"/>
      <c r="G860" s="85"/>
      <c r="H860" s="85"/>
      <c r="AF860" s="99"/>
    </row>
    <row r="861" spans="4:32" ht="15.75">
      <c r="D861" s="85"/>
      <c r="E861" s="85"/>
      <c r="F861" s="85"/>
      <c r="G861" s="85"/>
      <c r="H861" s="85"/>
      <c r="AF861" s="99"/>
    </row>
    <row r="862" spans="4:32" ht="15.75">
      <c r="D862" s="85"/>
      <c r="E862" s="85"/>
      <c r="F862" s="85"/>
      <c r="G862" s="85"/>
      <c r="H862" s="85"/>
      <c r="AF862" s="99"/>
    </row>
    <row r="863" spans="4:32" ht="15.75">
      <c r="D863" s="85"/>
      <c r="E863" s="85"/>
      <c r="F863" s="85"/>
      <c r="G863" s="85"/>
      <c r="H863" s="85"/>
      <c r="AF863" s="99"/>
    </row>
    <row r="864" spans="4:32" ht="15.75">
      <c r="D864" s="85"/>
      <c r="E864" s="85"/>
      <c r="F864" s="85"/>
      <c r="G864" s="85"/>
      <c r="H864" s="85"/>
      <c r="AF864" s="99"/>
    </row>
    <row r="865" spans="4:32" ht="15.75">
      <c r="D865" s="85"/>
      <c r="E865" s="85"/>
      <c r="F865" s="85"/>
      <c r="G865" s="85"/>
      <c r="H865" s="85"/>
      <c r="AF865" s="99"/>
    </row>
    <row r="866" spans="4:32" ht="15.75">
      <c r="D866" s="85"/>
      <c r="E866" s="85"/>
      <c r="F866" s="85"/>
      <c r="G866" s="85"/>
      <c r="H866" s="85"/>
      <c r="AF866" s="99"/>
    </row>
    <row r="867" spans="4:32" ht="15.75">
      <c r="D867" s="85"/>
      <c r="E867" s="85"/>
      <c r="F867" s="85"/>
      <c r="G867" s="85"/>
      <c r="H867" s="85"/>
      <c r="AF867" s="99"/>
    </row>
    <row r="868" spans="4:32" ht="15.75">
      <c r="D868" s="85"/>
      <c r="E868" s="85"/>
      <c r="F868" s="85"/>
      <c r="G868" s="85"/>
      <c r="H868" s="85"/>
      <c r="AF868" s="99"/>
    </row>
    <row r="869" spans="4:32" ht="15.75">
      <c r="D869" s="85"/>
      <c r="E869" s="85"/>
      <c r="F869" s="85"/>
      <c r="G869" s="85"/>
      <c r="H869" s="85"/>
      <c r="AF869" s="99"/>
    </row>
    <row r="870" spans="4:32" ht="15.75">
      <c r="D870" s="85"/>
      <c r="E870" s="85"/>
      <c r="F870" s="85"/>
      <c r="G870" s="85"/>
      <c r="H870" s="85"/>
      <c r="AF870" s="99"/>
    </row>
    <row r="871" spans="4:32" ht="15.75">
      <c r="D871" s="85"/>
      <c r="E871" s="85"/>
      <c r="F871" s="85"/>
      <c r="G871" s="85"/>
      <c r="H871" s="85"/>
      <c r="AF871" s="99"/>
    </row>
    <row r="872" spans="4:32" ht="15.75">
      <c r="D872" s="85"/>
      <c r="E872" s="85"/>
      <c r="F872" s="85"/>
      <c r="G872" s="85"/>
      <c r="H872" s="85"/>
      <c r="AF872" s="99"/>
    </row>
    <row r="873" spans="4:32" ht="15.75">
      <c r="D873" s="85"/>
      <c r="E873" s="85"/>
      <c r="F873" s="85"/>
      <c r="G873" s="85"/>
      <c r="H873" s="85"/>
      <c r="AF873" s="99"/>
    </row>
    <row r="874" spans="4:32" ht="15.75">
      <c r="D874" s="85"/>
      <c r="E874" s="85"/>
      <c r="F874" s="85"/>
      <c r="G874" s="85"/>
      <c r="H874" s="85"/>
      <c r="AF874" s="99"/>
    </row>
    <row r="875" spans="4:32" ht="15.75">
      <c r="D875" s="85"/>
      <c r="E875" s="85"/>
      <c r="F875" s="85"/>
      <c r="G875" s="85"/>
      <c r="H875" s="85"/>
      <c r="AF875" s="99"/>
    </row>
    <row r="876" spans="4:32" ht="15.75">
      <c r="D876" s="85"/>
      <c r="E876" s="85"/>
      <c r="F876" s="85"/>
      <c r="G876" s="85"/>
      <c r="H876" s="85"/>
      <c r="AF876" s="99"/>
    </row>
    <row r="877" spans="4:32" ht="15.75">
      <c r="D877" s="85"/>
      <c r="E877" s="85"/>
      <c r="F877" s="85"/>
      <c r="G877" s="85"/>
      <c r="H877" s="85"/>
      <c r="AF877" s="99"/>
    </row>
    <row r="878" spans="4:32" ht="15.75">
      <c r="D878" s="85"/>
      <c r="E878" s="85"/>
      <c r="F878" s="85"/>
      <c r="G878" s="85"/>
      <c r="H878" s="85"/>
      <c r="AF878" s="99"/>
    </row>
    <row r="879" spans="4:32" ht="15.75">
      <c r="D879" s="85"/>
      <c r="E879" s="85"/>
      <c r="F879" s="85"/>
      <c r="G879" s="85"/>
      <c r="H879" s="85"/>
      <c r="AF879" s="99"/>
    </row>
    <row r="880" spans="4:32" ht="15.75">
      <c r="D880" s="85"/>
      <c r="E880" s="85"/>
      <c r="F880" s="85"/>
      <c r="G880" s="85"/>
      <c r="H880" s="85"/>
      <c r="AF880" s="99"/>
    </row>
    <row r="881" spans="4:32" ht="15.75">
      <c r="D881" s="85"/>
      <c r="E881" s="85"/>
      <c r="F881" s="85"/>
      <c r="G881" s="85"/>
      <c r="H881" s="85"/>
      <c r="AF881" s="99"/>
    </row>
    <row r="882" spans="4:32" ht="15.75">
      <c r="D882" s="85"/>
      <c r="E882" s="85"/>
      <c r="F882" s="85"/>
      <c r="G882" s="85"/>
      <c r="H882" s="85"/>
      <c r="AF882" s="99"/>
    </row>
    <row r="883" spans="4:32" ht="15.75">
      <c r="D883" s="85"/>
      <c r="E883" s="85"/>
      <c r="F883" s="85"/>
      <c r="G883" s="85"/>
      <c r="H883" s="85"/>
      <c r="AF883" s="99"/>
    </row>
    <row r="884" spans="4:32" ht="15.75">
      <c r="D884" s="85"/>
      <c r="E884" s="85"/>
      <c r="F884" s="85"/>
      <c r="G884" s="85"/>
      <c r="H884" s="85"/>
      <c r="AF884" s="99"/>
    </row>
    <row r="885" spans="4:32" ht="15.75">
      <c r="D885" s="85"/>
      <c r="E885" s="85"/>
      <c r="F885" s="85"/>
      <c r="G885" s="85"/>
      <c r="H885" s="85"/>
      <c r="AF885" s="99"/>
    </row>
    <row r="886" spans="4:32" ht="15.75">
      <c r="D886" s="85"/>
      <c r="E886" s="85"/>
      <c r="F886" s="85"/>
      <c r="G886" s="85"/>
      <c r="H886" s="85"/>
      <c r="AF886" s="99"/>
    </row>
    <row r="887" spans="4:32" ht="15.75">
      <c r="D887" s="85"/>
      <c r="E887" s="85"/>
      <c r="F887" s="85"/>
      <c r="G887" s="85"/>
      <c r="H887" s="85"/>
      <c r="AF887" s="99"/>
    </row>
    <row r="888" spans="4:32" ht="15.75">
      <c r="D888" s="85"/>
      <c r="E888" s="85"/>
      <c r="F888" s="85"/>
      <c r="G888" s="85"/>
      <c r="H888" s="85"/>
      <c r="AF888" s="99"/>
    </row>
    <row r="889" spans="4:32" ht="15.75">
      <c r="D889" s="85"/>
      <c r="E889" s="85"/>
      <c r="F889" s="85"/>
      <c r="G889" s="85"/>
      <c r="H889" s="85"/>
      <c r="AF889" s="99"/>
    </row>
    <row r="890" spans="4:32" ht="15.75">
      <c r="D890" s="85"/>
      <c r="E890" s="85"/>
      <c r="F890" s="85"/>
      <c r="G890" s="85"/>
      <c r="H890" s="85"/>
      <c r="AF890" s="99"/>
    </row>
    <row r="891" spans="4:32" ht="15.75">
      <c r="D891" s="85"/>
      <c r="E891" s="85"/>
      <c r="F891" s="85"/>
      <c r="G891" s="85"/>
      <c r="H891" s="85"/>
      <c r="AF891" s="99"/>
    </row>
    <row r="892" spans="4:32" ht="15.75">
      <c r="D892" s="85"/>
      <c r="E892" s="85"/>
      <c r="F892" s="85"/>
      <c r="G892" s="85"/>
      <c r="H892" s="85"/>
      <c r="AF892" s="99"/>
    </row>
    <row r="893" spans="4:32" ht="15.75">
      <c r="D893" s="85"/>
      <c r="E893" s="85"/>
      <c r="F893" s="85"/>
      <c r="G893" s="85"/>
      <c r="H893" s="85"/>
      <c r="AF893" s="99"/>
    </row>
    <row r="894" spans="4:32" ht="15.75">
      <c r="D894" s="85"/>
      <c r="E894" s="85"/>
      <c r="F894" s="85"/>
      <c r="G894" s="85"/>
      <c r="H894" s="85"/>
      <c r="AF894" s="99"/>
    </row>
    <row r="895" spans="4:32" ht="15.75">
      <c r="D895" s="85"/>
      <c r="E895" s="85"/>
      <c r="F895" s="85"/>
      <c r="G895" s="85"/>
      <c r="H895" s="85"/>
      <c r="AF895" s="99"/>
    </row>
    <row r="896" spans="4:32" ht="15.75">
      <c r="D896" s="85"/>
      <c r="E896" s="85"/>
      <c r="F896" s="85"/>
      <c r="G896" s="85"/>
      <c r="H896" s="85"/>
      <c r="AF896" s="99"/>
    </row>
    <row r="897" spans="4:32" ht="15.75">
      <c r="D897" s="85"/>
      <c r="E897" s="85"/>
      <c r="F897" s="85"/>
      <c r="G897" s="85"/>
      <c r="H897" s="85"/>
      <c r="AF897" s="99"/>
    </row>
    <row r="898" spans="4:32" ht="15.75">
      <c r="D898" s="85"/>
      <c r="E898" s="85"/>
      <c r="F898" s="85"/>
      <c r="G898" s="85"/>
      <c r="H898" s="85"/>
      <c r="AF898" s="99"/>
    </row>
    <row r="899" spans="4:32" ht="15.75">
      <c r="D899" s="85"/>
      <c r="E899" s="85"/>
      <c r="F899" s="85"/>
      <c r="G899" s="85"/>
      <c r="H899" s="85"/>
      <c r="AF899" s="99"/>
    </row>
    <row r="900" spans="4:32" ht="15.75">
      <c r="D900" s="85"/>
      <c r="E900" s="85"/>
      <c r="F900" s="85"/>
      <c r="G900" s="85"/>
      <c r="H900" s="85"/>
      <c r="AF900" s="99"/>
    </row>
    <row r="901" spans="4:32" ht="15.75">
      <c r="D901" s="85"/>
      <c r="E901" s="85"/>
      <c r="F901" s="85"/>
      <c r="G901" s="85"/>
      <c r="H901" s="85"/>
      <c r="AF901" s="99"/>
    </row>
    <row r="902" spans="4:32" ht="15.75">
      <c r="D902" s="85"/>
      <c r="E902" s="85"/>
      <c r="F902" s="85"/>
      <c r="G902" s="85"/>
      <c r="H902" s="85"/>
      <c r="AF902" s="99"/>
    </row>
    <row r="903" spans="4:32" ht="15.75">
      <c r="D903" s="85"/>
      <c r="E903" s="85"/>
      <c r="F903" s="85"/>
      <c r="G903" s="85"/>
      <c r="H903" s="85"/>
      <c r="AF903" s="99"/>
    </row>
    <row r="904" spans="4:32" ht="15.75">
      <c r="D904" s="85"/>
      <c r="E904" s="85"/>
      <c r="F904" s="85"/>
      <c r="G904" s="85"/>
      <c r="H904" s="85"/>
      <c r="AF904" s="99"/>
    </row>
    <row r="905" spans="4:32" ht="15.75">
      <c r="D905" s="85"/>
      <c r="E905" s="85"/>
      <c r="F905" s="85"/>
      <c r="G905" s="85"/>
      <c r="H905" s="85"/>
      <c r="AF905" s="99"/>
    </row>
    <row r="906" spans="4:32" ht="15.75">
      <c r="D906" s="85"/>
      <c r="E906" s="85"/>
      <c r="F906" s="85"/>
      <c r="G906" s="85"/>
      <c r="H906" s="85"/>
      <c r="AF906" s="99"/>
    </row>
    <row r="907" spans="4:32" ht="15.75">
      <c r="D907" s="85"/>
      <c r="E907" s="85"/>
      <c r="F907" s="85"/>
      <c r="G907" s="85"/>
      <c r="H907" s="85"/>
      <c r="AF907" s="99"/>
    </row>
    <row r="908" spans="4:32" ht="15.75">
      <c r="D908" s="85"/>
      <c r="E908" s="85"/>
      <c r="F908" s="85"/>
      <c r="G908" s="85"/>
      <c r="H908" s="85"/>
      <c r="AF908" s="99"/>
    </row>
    <row r="909" spans="4:32" ht="15.75">
      <c r="D909" s="85"/>
      <c r="E909" s="85"/>
      <c r="F909" s="85"/>
      <c r="G909" s="85"/>
      <c r="H909" s="85"/>
      <c r="AF909" s="99"/>
    </row>
    <row r="910" spans="4:32" ht="15.75">
      <c r="D910" s="85"/>
      <c r="E910" s="85"/>
      <c r="F910" s="85"/>
      <c r="G910" s="85"/>
      <c r="H910" s="85"/>
      <c r="AF910" s="99"/>
    </row>
    <row r="911" spans="4:32" ht="15.75">
      <c r="D911" s="85"/>
      <c r="E911" s="85"/>
      <c r="F911" s="85"/>
      <c r="G911" s="85"/>
      <c r="H911" s="85"/>
      <c r="AF911" s="99"/>
    </row>
    <row r="912" spans="4:32" ht="15.75">
      <c r="D912" s="85"/>
      <c r="E912" s="85"/>
      <c r="F912" s="85"/>
      <c r="G912" s="85"/>
      <c r="H912" s="85"/>
      <c r="AF912" s="99"/>
    </row>
    <row r="913" spans="4:32" ht="15.75">
      <c r="D913" s="85"/>
      <c r="E913" s="85"/>
      <c r="F913" s="85"/>
      <c r="G913" s="85"/>
      <c r="H913" s="85"/>
      <c r="AF913" s="99"/>
    </row>
    <row r="914" spans="4:32" ht="15.75">
      <c r="D914" s="85"/>
      <c r="E914" s="85"/>
      <c r="F914" s="85"/>
      <c r="G914" s="85"/>
      <c r="H914" s="85"/>
      <c r="AF914" s="99"/>
    </row>
    <row r="915" spans="4:32" ht="15.75">
      <c r="D915" s="85"/>
      <c r="E915" s="85"/>
      <c r="F915" s="85"/>
      <c r="G915" s="85"/>
      <c r="H915" s="85"/>
      <c r="AF915" s="99"/>
    </row>
    <row r="916" spans="4:32" ht="15.75">
      <c r="D916" s="85"/>
      <c r="E916" s="85"/>
      <c r="F916" s="85"/>
      <c r="G916" s="85"/>
      <c r="H916" s="85"/>
      <c r="AF916" s="99"/>
    </row>
    <row r="917" spans="4:32" ht="15.75">
      <c r="D917" s="85"/>
      <c r="E917" s="85"/>
      <c r="F917" s="85"/>
      <c r="G917" s="85"/>
      <c r="H917" s="85"/>
      <c r="AF917" s="99"/>
    </row>
    <row r="918" spans="4:32" ht="15.75">
      <c r="D918" s="85"/>
      <c r="E918" s="85"/>
      <c r="F918" s="85"/>
      <c r="G918" s="85"/>
      <c r="H918" s="85"/>
      <c r="AF918" s="99"/>
    </row>
    <row r="919" spans="4:32" ht="15.75">
      <c r="D919" s="85"/>
      <c r="E919" s="85"/>
      <c r="F919" s="85"/>
      <c r="G919" s="85"/>
      <c r="H919" s="85"/>
      <c r="AF919" s="99"/>
    </row>
    <row r="920" spans="4:32" ht="15.75">
      <c r="D920" s="85"/>
      <c r="E920" s="85"/>
      <c r="F920" s="85"/>
      <c r="G920" s="85"/>
      <c r="H920" s="85"/>
      <c r="AF920" s="99"/>
    </row>
    <row r="921" spans="4:32" ht="15.75">
      <c r="D921" s="85"/>
      <c r="E921" s="85"/>
      <c r="F921" s="85"/>
      <c r="G921" s="85"/>
      <c r="H921" s="85"/>
      <c r="AF921" s="99"/>
    </row>
    <row r="922" spans="4:32" ht="15.75">
      <c r="D922" s="85"/>
      <c r="E922" s="85"/>
      <c r="F922" s="85"/>
      <c r="G922" s="85"/>
      <c r="H922" s="85"/>
      <c r="AF922" s="99"/>
    </row>
    <row r="923" spans="4:32" ht="15.75">
      <c r="D923" s="85"/>
      <c r="E923" s="85"/>
      <c r="F923" s="85"/>
      <c r="G923" s="85"/>
      <c r="H923" s="85"/>
      <c r="AF923" s="99"/>
    </row>
    <row r="924" spans="4:32" ht="15.75">
      <c r="D924" s="85"/>
      <c r="E924" s="85"/>
      <c r="F924" s="85"/>
      <c r="G924" s="85"/>
      <c r="H924" s="85"/>
      <c r="AF924" s="99"/>
    </row>
    <row r="925" spans="4:32" ht="15.75">
      <c r="D925" s="85"/>
      <c r="E925" s="85"/>
      <c r="F925" s="85"/>
      <c r="G925" s="85"/>
      <c r="H925" s="85"/>
      <c r="AF925" s="99"/>
    </row>
    <row r="926" spans="4:32" ht="15.75">
      <c r="D926" s="85"/>
      <c r="E926" s="85"/>
      <c r="F926" s="85"/>
      <c r="G926" s="85"/>
      <c r="H926" s="85"/>
      <c r="AF926" s="99"/>
    </row>
    <row r="927" spans="4:32" ht="15.75">
      <c r="D927" s="85"/>
      <c r="E927" s="85"/>
      <c r="F927" s="85"/>
      <c r="G927" s="85"/>
      <c r="H927" s="85"/>
      <c r="AF927" s="99"/>
    </row>
    <row r="928" spans="4:32" ht="15.75">
      <c r="D928" s="85"/>
      <c r="E928" s="85"/>
      <c r="F928" s="85"/>
      <c r="G928" s="85"/>
      <c r="H928" s="85"/>
      <c r="AF928" s="99"/>
    </row>
    <row r="929" spans="4:32" ht="15.75">
      <c r="D929" s="85"/>
      <c r="E929" s="85"/>
      <c r="F929" s="85"/>
      <c r="G929" s="85"/>
      <c r="H929" s="85"/>
      <c r="AF929" s="99"/>
    </row>
    <row r="930" spans="4:32" ht="15.75">
      <c r="D930" s="85"/>
      <c r="E930" s="85"/>
      <c r="F930" s="85"/>
      <c r="G930" s="85"/>
      <c r="H930" s="85"/>
      <c r="AF930" s="99"/>
    </row>
    <row r="931" spans="4:32" ht="15.75">
      <c r="D931" s="85"/>
      <c r="E931" s="85"/>
      <c r="F931" s="85"/>
      <c r="G931" s="85"/>
      <c r="H931" s="85"/>
      <c r="AF931" s="99"/>
    </row>
    <row r="932" spans="4:32" ht="15.75">
      <c r="D932" s="85"/>
      <c r="E932" s="85"/>
      <c r="F932" s="85"/>
      <c r="G932" s="85"/>
      <c r="H932" s="85"/>
      <c r="AF932" s="99"/>
    </row>
    <row r="933" spans="4:32" ht="15.75">
      <c r="D933" s="85"/>
      <c r="E933" s="85"/>
      <c r="F933" s="85"/>
      <c r="G933" s="85"/>
      <c r="H933" s="85"/>
      <c r="AF933" s="99"/>
    </row>
    <row r="934" spans="4:32" ht="15.75">
      <c r="D934" s="85"/>
      <c r="E934" s="85"/>
      <c r="F934" s="85"/>
      <c r="G934" s="85"/>
      <c r="H934" s="85"/>
      <c r="AF934" s="99"/>
    </row>
    <row r="935" spans="4:32" ht="15.75">
      <c r="D935" s="85"/>
      <c r="E935" s="85"/>
      <c r="F935" s="85"/>
      <c r="G935" s="85"/>
      <c r="H935" s="85"/>
      <c r="AF935" s="99"/>
    </row>
    <row r="936" spans="4:32" ht="15.75">
      <c r="D936" s="85"/>
      <c r="E936" s="85"/>
      <c r="F936" s="85"/>
      <c r="G936" s="85"/>
      <c r="H936" s="85"/>
      <c r="AF936" s="99"/>
    </row>
    <row r="937" spans="4:32" ht="15.75">
      <c r="D937" s="85"/>
      <c r="E937" s="85"/>
      <c r="F937" s="85"/>
      <c r="G937" s="85"/>
      <c r="H937" s="85"/>
      <c r="AF937" s="99"/>
    </row>
    <row r="938" spans="4:32" ht="15.75">
      <c r="D938" s="85"/>
      <c r="E938" s="85"/>
      <c r="F938" s="85"/>
      <c r="G938" s="85"/>
      <c r="H938" s="85"/>
      <c r="AF938" s="99"/>
    </row>
    <row r="939" spans="4:32" ht="15.75">
      <c r="D939" s="85"/>
      <c r="E939" s="85"/>
      <c r="F939" s="85"/>
      <c r="G939" s="85"/>
      <c r="H939" s="85"/>
      <c r="AF939" s="99"/>
    </row>
    <row r="940" spans="4:32" ht="15.75">
      <c r="D940" s="85"/>
      <c r="E940" s="85"/>
      <c r="F940" s="85"/>
      <c r="G940" s="85"/>
      <c r="H940" s="85"/>
      <c r="AF940" s="99"/>
    </row>
    <row r="941" spans="4:32" ht="15.75">
      <c r="D941" s="85"/>
      <c r="E941" s="85"/>
      <c r="F941" s="85"/>
      <c r="G941" s="85"/>
      <c r="H941" s="85"/>
      <c r="AF941" s="99"/>
    </row>
    <row r="942" spans="4:32" ht="15.75">
      <c r="D942" s="85"/>
      <c r="E942" s="85"/>
      <c r="F942" s="85"/>
      <c r="G942" s="85"/>
      <c r="H942" s="85"/>
      <c r="AF942" s="99"/>
    </row>
    <row r="943" spans="4:32" ht="15.75">
      <c r="D943" s="85"/>
      <c r="E943" s="85"/>
      <c r="F943" s="85"/>
      <c r="G943" s="85"/>
      <c r="H943" s="85"/>
      <c r="AF943" s="99"/>
    </row>
    <row r="944" spans="4:32" ht="15.75">
      <c r="D944" s="85"/>
      <c r="E944" s="85"/>
      <c r="F944" s="85"/>
      <c r="G944" s="85"/>
      <c r="H944" s="85"/>
      <c r="AF944" s="99"/>
    </row>
    <row r="945" spans="4:32" ht="15.75">
      <c r="D945" s="85"/>
      <c r="E945" s="85"/>
      <c r="F945" s="85"/>
      <c r="G945" s="85"/>
      <c r="H945" s="85"/>
      <c r="AF945" s="99"/>
    </row>
    <row r="946" spans="4:32" ht="15.75">
      <c r="D946" s="85"/>
      <c r="E946" s="85"/>
      <c r="F946" s="85"/>
      <c r="G946" s="85"/>
      <c r="H946" s="85"/>
      <c r="AF946" s="99"/>
    </row>
    <row r="947" spans="4:32" ht="15.75">
      <c r="D947" s="85"/>
      <c r="E947" s="85"/>
      <c r="F947" s="85"/>
      <c r="G947" s="85"/>
      <c r="H947" s="85"/>
      <c r="AF947" s="99"/>
    </row>
    <row r="948" spans="4:32" ht="15.75">
      <c r="D948" s="85"/>
      <c r="E948" s="85"/>
      <c r="F948" s="85"/>
      <c r="G948" s="85"/>
      <c r="H948" s="85"/>
      <c r="AF948" s="99"/>
    </row>
    <row r="949" spans="4:32" ht="15.75">
      <c r="D949" s="85"/>
      <c r="E949" s="85"/>
      <c r="F949" s="85"/>
      <c r="G949" s="85"/>
      <c r="H949" s="85"/>
      <c r="AF949" s="99"/>
    </row>
    <row r="950" spans="4:32" ht="15.75">
      <c r="D950" s="85"/>
      <c r="E950" s="85"/>
      <c r="F950" s="85"/>
      <c r="G950" s="85"/>
      <c r="H950" s="85"/>
      <c r="AF950" s="99"/>
    </row>
    <row r="951" spans="4:32" ht="15.75">
      <c r="D951" s="85"/>
      <c r="E951" s="85"/>
      <c r="F951" s="85"/>
      <c r="G951" s="85"/>
      <c r="H951" s="85"/>
      <c r="AF951" s="99"/>
    </row>
    <row r="952" spans="4:32" ht="15.75">
      <c r="D952" s="85"/>
      <c r="E952" s="85"/>
      <c r="F952" s="85"/>
      <c r="G952" s="85"/>
      <c r="H952" s="85"/>
      <c r="AF952" s="99"/>
    </row>
    <row r="953" spans="4:32" ht="15.75">
      <c r="D953" s="85"/>
      <c r="E953" s="85"/>
      <c r="F953" s="85"/>
      <c r="G953" s="85"/>
      <c r="H953" s="85"/>
      <c r="AF953" s="99"/>
    </row>
    <row r="954" spans="4:32" ht="15.75">
      <c r="D954" s="85"/>
      <c r="E954" s="85"/>
      <c r="F954" s="85"/>
      <c r="G954" s="85"/>
      <c r="H954" s="85"/>
      <c r="AF954" s="99"/>
    </row>
    <row r="955" spans="4:32" ht="15.75">
      <c r="D955" s="85"/>
      <c r="E955" s="85"/>
      <c r="F955" s="85"/>
      <c r="G955" s="85"/>
      <c r="H955" s="85"/>
      <c r="AF955" s="99"/>
    </row>
    <row r="956" spans="4:32" ht="15.75">
      <c r="D956" s="85"/>
      <c r="E956" s="85"/>
      <c r="F956" s="85"/>
      <c r="G956" s="85"/>
      <c r="H956" s="85"/>
      <c r="AF956" s="99"/>
    </row>
    <row r="957" spans="4:32" ht="15.75">
      <c r="D957" s="85"/>
      <c r="E957" s="85"/>
      <c r="F957" s="85"/>
      <c r="G957" s="85"/>
      <c r="H957" s="85"/>
      <c r="AF957" s="99"/>
    </row>
    <row r="958" spans="4:32" ht="15.75">
      <c r="D958" s="85"/>
      <c r="E958" s="85"/>
      <c r="F958" s="85"/>
      <c r="G958" s="85"/>
      <c r="H958" s="85"/>
      <c r="AF958" s="99"/>
    </row>
    <row r="959" spans="4:32" ht="15.75">
      <c r="D959" s="85"/>
      <c r="E959" s="85"/>
      <c r="F959" s="85"/>
      <c r="G959" s="85"/>
      <c r="H959" s="85"/>
      <c r="AF959" s="99"/>
    </row>
  </sheetData>
  <mergeCells count="35">
    <mergeCell ref="D4:H4"/>
    <mergeCell ref="D5:H5"/>
    <mergeCell ref="D6:H6"/>
    <mergeCell ref="D7:H7"/>
    <mergeCell ref="D13:H13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S33:AD33"/>
    <mergeCell ref="S34:AD34"/>
    <mergeCell ref="D127:G127"/>
    <mergeCell ref="I127:T127"/>
    <mergeCell ref="D14:H14"/>
    <mergeCell ref="D15:H15"/>
    <mergeCell ref="D133:G133"/>
    <mergeCell ref="D23:H23"/>
    <mergeCell ref="D24:H24"/>
    <mergeCell ref="D25:H25"/>
    <mergeCell ref="D26:H26"/>
    <mergeCell ref="D27:H27"/>
    <mergeCell ref="D28:H28"/>
    <mergeCell ref="D29:H29"/>
    <mergeCell ref="D128:G128"/>
    <mergeCell ref="D129:G129"/>
    <mergeCell ref="D130:G130"/>
    <mergeCell ref="D131:G131"/>
    <mergeCell ref="D132:G132"/>
    <mergeCell ref="D30:H30"/>
  </mergeCells>
  <dataValidations count="18">
    <dataValidation type="list" allowBlank="1" showErrorMessage="1" sqref="D127">
      <formula1>#REF!</formula1>
    </dataValidation>
    <dataValidation type="list" allowBlank="1" showErrorMessage="1" sqref="D128">
      <formula1>#REF!</formula1>
    </dataValidation>
    <dataValidation type="list" allowBlank="1" showErrorMessage="1" sqref="D20">
      <formula1>#REF!</formula1>
    </dataValidation>
    <dataValidation type="list" allowBlank="1" showErrorMessage="1" sqref="D14">
      <formula1>#REF!</formula1>
    </dataValidation>
    <dataValidation type="list" allowBlank="1" showErrorMessage="1" sqref="D26">
      <formula1>#REF!</formula1>
    </dataValidation>
    <dataValidation type="list" allowBlank="1" showErrorMessage="1" sqref="D15">
      <formula1>#REF!</formula1>
    </dataValidation>
    <dataValidation type="list" allowBlank="1" showErrorMessage="1" sqref="D23">
      <formula1>#REF!</formula1>
    </dataValidation>
    <dataValidation type="list" allowBlank="1" showErrorMessage="1" sqref="D27">
      <formula1>#REF!</formula1>
    </dataValidation>
    <dataValidation type="list" allowBlank="1" showErrorMessage="1" sqref="B53 B55 B58">
      <formula1>#REF!</formula1>
    </dataValidation>
    <dataValidation type="list" allowBlank="1" showErrorMessage="1" sqref="D18">
      <formula1>#REF!</formula1>
    </dataValidation>
    <dataValidation type="list" allowBlank="1" showErrorMessage="1" sqref="B35 D129">
      <formula1>#REF!</formula1>
    </dataValidation>
    <dataValidation type="list" allowBlank="1" showErrorMessage="1" sqref="D16">
      <formula1>#REF!</formula1>
    </dataValidation>
    <dataValidation type="list" allowBlank="1" showErrorMessage="1" sqref="D24">
      <formula1>#REF!</formula1>
    </dataValidation>
    <dataValidation type="list" allowBlank="1" showErrorMessage="1" sqref="D22">
      <formula1>#REF!</formula1>
    </dataValidation>
    <dataValidation type="list" allowBlank="1" showErrorMessage="1" sqref="D21">
      <formula1>#REF!</formula1>
    </dataValidation>
    <dataValidation type="list" allowBlank="1" showErrorMessage="1" sqref="D131">
      <formula1>#REF!</formula1>
    </dataValidation>
    <dataValidation type="list" allowBlank="1" showErrorMessage="1" sqref="D17">
      <formula1>#REF!</formula1>
    </dataValidation>
    <dataValidation type="list" allowBlank="1" showErrorMessage="1" sqref="D25">
      <formula1>#REF!</formula1>
    </dataValidation>
  </dataValidations>
  <printOptions gridLines="1"/>
  <pageMargins left="0.31496062992125984" right="0.31496062992125984" top="0" bottom="0.74803149606299213" header="0" footer="0"/>
  <pageSetup paperSize="5" scale="45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baseColWidth="10" defaultColWidth="14.42578125" defaultRowHeight="15" customHeight="1"/>
  <cols>
    <col min="2" max="2" width="45" customWidth="1"/>
    <col min="3" max="3" width="39.140625" customWidth="1"/>
  </cols>
  <sheetData>
    <row r="1" spans="1:26" ht="15" customHeight="1">
      <c r="A1" s="139" t="s">
        <v>385</v>
      </c>
      <c r="B1" s="140" t="s">
        <v>43</v>
      </c>
      <c r="C1" s="141" t="s">
        <v>44</v>
      </c>
      <c r="D1" s="142" t="s">
        <v>53</v>
      </c>
      <c r="E1" s="142" t="s">
        <v>71</v>
      </c>
      <c r="F1" s="143" t="s">
        <v>55</v>
      </c>
      <c r="G1" s="144" t="s">
        <v>386</v>
      </c>
      <c r="H1" s="144" t="s">
        <v>387</v>
      </c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</row>
    <row r="2" spans="1:26" ht="15" customHeight="1">
      <c r="A2" s="143"/>
      <c r="B2" s="140" t="s">
        <v>74</v>
      </c>
      <c r="C2" s="141" t="s">
        <v>75</v>
      </c>
      <c r="D2" s="142" t="s">
        <v>338</v>
      </c>
      <c r="E2" s="142">
        <v>22787</v>
      </c>
      <c r="F2" s="143">
        <v>37731</v>
      </c>
      <c r="G2" s="145" t="s">
        <v>388</v>
      </c>
      <c r="H2" s="146" t="b">
        <v>1</v>
      </c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</row>
    <row r="3" spans="1:26" ht="15" customHeight="1">
      <c r="A3" s="143"/>
      <c r="B3" s="140" t="s">
        <v>88</v>
      </c>
      <c r="C3" s="141" t="s">
        <v>89</v>
      </c>
      <c r="D3" s="142" t="s">
        <v>338</v>
      </c>
      <c r="E3" s="142">
        <v>0</v>
      </c>
      <c r="F3" s="143">
        <v>1503807</v>
      </c>
      <c r="G3" s="145" t="s">
        <v>388</v>
      </c>
      <c r="H3" s="147" t="b">
        <v>0</v>
      </c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</row>
    <row r="4" spans="1:26" ht="15" customHeight="1">
      <c r="A4" s="143"/>
      <c r="B4" s="140" t="s">
        <v>99</v>
      </c>
      <c r="C4" s="141" t="s">
        <v>100</v>
      </c>
      <c r="D4" s="142" t="s">
        <v>84</v>
      </c>
      <c r="E4" s="142"/>
      <c r="F4" s="143">
        <v>0.9</v>
      </c>
      <c r="G4" s="145" t="s">
        <v>388</v>
      </c>
      <c r="H4" s="148" t="b">
        <v>0</v>
      </c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</row>
    <row r="5" spans="1:26" ht="15" customHeight="1">
      <c r="A5" s="143" t="s">
        <v>74</v>
      </c>
      <c r="B5" s="140" t="s">
        <v>109</v>
      </c>
      <c r="C5" s="141" t="s">
        <v>110</v>
      </c>
      <c r="D5" s="142" t="s">
        <v>84</v>
      </c>
      <c r="E5" s="142">
        <v>463</v>
      </c>
      <c r="F5" s="143">
        <v>7450</v>
      </c>
      <c r="G5" s="145" t="s">
        <v>388</v>
      </c>
      <c r="H5" s="149" t="b">
        <v>1</v>
      </c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</row>
    <row r="6" spans="1:26" ht="15" customHeight="1">
      <c r="A6" s="143" t="s">
        <v>88</v>
      </c>
      <c r="B6" s="140" t="s">
        <v>119</v>
      </c>
      <c r="C6" s="141" t="s">
        <v>120</v>
      </c>
      <c r="D6" s="142" t="s">
        <v>84</v>
      </c>
      <c r="E6" s="142">
        <v>153</v>
      </c>
      <c r="F6" s="143">
        <v>640</v>
      </c>
      <c r="G6" s="145" t="s">
        <v>388</v>
      </c>
      <c r="H6" s="146" t="b">
        <v>1</v>
      </c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</row>
    <row r="7" spans="1:26" ht="15" customHeight="1">
      <c r="A7" s="143" t="s">
        <v>128</v>
      </c>
      <c r="B7" s="140" t="s">
        <v>129</v>
      </c>
      <c r="C7" s="141" t="s">
        <v>130</v>
      </c>
      <c r="D7" s="142" t="s">
        <v>84</v>
      </c>
      <c r="E7" s="142">
        <v>3448</v>
      </c>
      <c r="F7" s="143">
        <v>5000</v>
      </c>
      <c r="G7" s="145" t="s">
        <v>388</v>
      </c>
      <c r="H7" s="149" t="b">
        <v>1</v>
      </c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</row>
    <row r="8" spans="1:26" ht="15" customHeight="1">
      <c r="A8" s="143" t="s">
        <v>74</v>
      </c>
      <c r="B8" s="140" t="s">
        <v>138</v>
      </c>
      <c r="C8" s="141" t="s">
        <v>139</v>
      </c>
      <c r="D8" s="142" t="s">
        <v>84</v>
      </c>
      <c r="E8" s="142">
        <v>7578</v>
      </c>
      <c r="F8" s="143">
        <v>8791</v>
      </c>
      <c r="G8" s="145" t="s">
        <v>388</v>
      </c>
      <c r="H8" s="146" t="b">
        <v>1</v>
      </c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</row>
    <row r="9" spans="1:26" ht="15" customHeight="1">
      <c r="A9" s="143" t="s">
        <v>88</v>
      </c>
      <c r="B9" s="140" t="s">
        <v>146</v>
      </c>
      <c r="C9" s="141" t="s">
        <v>147</v>
      </c>
      <c r="D9" s="142" t="s">
        <v>84</v>
      </c>
      <c r="E9" s="142">
        <v>0</v>
      </c>
      <c r="F9" s="143">
        <v>1190350</v>
      </c>
      <c r="G9" s="145" t="s">
        <v>388</v>
      </c>
      <c r="H9" s="149" t="b">
        <v>1</v>
      </c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</row>
    <row r="10" spans="1:26" ht="15" customHeight="1">
      <c r="A10" s="143" t="s">
        <v>88</v>
      </c>
      <c r="B10" s="140" t="s">
        <v>155</v>
      </c>
      <c r="C10" s="141" t="s">
        <v>156</v>
      </c>
      <c r="D10" s="142" t="s">
        <v>84</v>
      </c>
      <c r="E10" s="142">
        <v>6573</v>
      </c>
      <c r="F10" s="143">
        <v>26292</v>
      </c>
      <c r="G10" s="145" t="s">
        <v>388</v>
      </c>
      <c r="H10" s="146" t="b">
        <v>1</v>
      </c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</row>
    <row r="11" spans="1:26" ht="15" customHeight="1">
      <c r="A11" s="143" t="s">
        <v>88</v>
      </c>
      <c r="B11" s="140" t="s">
        <v>162</v>
      </c>
      <c r="C11" s="141" t="s">
        <v>163</v>
      </c>
      <c r="D11" s="142" t="s">
        <v>84</v>
      </c>
      <c r="E11" s="142">
        <v>1005</v>
      </c>
      <c r="F11" s="143">
        <v>4020</v>
      </c>
      <c r="G11" s="145" t="s">
        <v>388</v>
      </c>
      <c r="H11" s="149" t="b">
        <v>1</v>
      </c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</row>
    <row r="12" spans="1:26" ht="15" customHeight="1">
      <c r="A12" s="143" t="s">
        <v>128</v>
      </c>
      <c r="B12" s="140" t="s">
        <v>167</v>
      </c>
      <c r="C12" s="141" t="s">
        <v>168</v>
      </c>
      <c r="D12" s="142" t="s">
        <v>84</v>
      </c>
      <c r="E12" s="142">
        <v>1940</v>
      </c>
      <c r="F12" s="143">
        <v>6000</v>
      </c>
      <c r="G12" s="145" t="s">
        <v>388</v>
      </c>
      <c r="H12" s="146" t="b">
        <v>1</v>
      </c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</row>
    <row r="13" spans="1:26" ht="15" customHeight="1">
      <c r="A13" s="143" t="s">
        <v>74</v>
      </c>
      <c r="B13" s="140" t="s">
        <v>176</v>
      </c>
      <c r="C13" s="141" t="s">
        <v>177</v>
      </c>
      <c r="D13" s="142" t="s">
        <v>183</v>
      </c>
      <c r="E13" s="142">
        <v>2292</v>
      </c>
      <c r="F13" s="143">
        <v>850</v>
      </c>
      <c r="G13" s="150">
        <f>E13/3</f>
        <v>764</v>
      </c>
      <c r="H13" s="149" t="b">
        <v>1</v>
      </c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</row>
    <row r="14" spans="1:26" ht="15" customHeight="1">
      <c r="A14" s="143" t="s">
        <v>88</v>
      </c>
      <c r="B14" s="140" t="s">
        <v>186</v>
      </c>
      <c r="C14" s="141" t="s">
        <v>187</v>
      </c>
      <c r="D14" s="142" t="s">
        <v>84</v>
      </c>
      <c r="E14" s="142">
        <v>4149</v>
      </c>
      <c r="F14" s="143">
        <v>15000</v>
      </c>
      <c r="G14" s="145" t="s">
        <v>388</v>
      </c>
      <c r="H14" s="146" t="b">
        <v>1</v>
      </c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</row>
    <row r="15" spans="1:26" ht="15" customHeight="1">
      <c r="A15" s="143" t="s">
        <v>88</v>
      </c>
      <c r="B15" s="140" t="s">
        <v>193</v>
      </c>
      <c r="C15" s="141" t="s">
        <v>194</v>
      </c>
      <c r="D15" s="142" t="s">
        <v>84</v>
      </c>
      <c r="E15" s="142">
        <v>6869</v>
      </c>
      <c r="F15" s="143">
        <v>29000</v>
      </c>
      <c r="G15" s="145" t="s">
        <v>388</v>
      </c>
      <c r="H15" s="149" t="b">
        <v>1</v>
      </c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</row>
    <row r="16" spans="1:26" ht="15" customHeight="1">
      <c r="A16" s="143" t="s">
        <v>74</v>
      </c>
      <c r="B16" s="140" t="s">
        <v>202</v>
      </c>
      <c r="C16" s="141" t="s">
        <v>203</v>
      </c>
      <c r="D16" s="142" t="s">
        <v>183</v>
      </c>
      <c r="E16" s="142">
        <v>1530</v>
      </c>
      <c r="F16" s="143">
        <v>500</v>
      </c>
      <c r="G16" s="150">
        <f>E16/3</f>
        <v>510</v>
      </c>
      <c r="H16" s="146" t="b">
        <v>1</v>
      </c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</row>
    <row r="17" spans="1:26" ht="15" customHeight="1">
      <c r="A17" s="143" t="s">
        <v>88</v>
      </c>
      <c r="B17" s="140" t="s">
        <v>209</v>
      </c>
      <c r="C17" s="141" t="s">
        <v>210</v>
      </c>
      <c r="D17" s="142" t="s">
        <v>84</v>
      </c>
      <c r="E17" s="142">
        <v>65280</v>
      </c>
      <c r="F17" s="143">
        <v>224400</v>
      </c>
      <c r="G17" s="145" t="s">
        <v>388</v>
      </c>
      <c r="H17" s="149" t="b">
        <v>1</v>
      </c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</row>
    <row r="18" spans="1:26" ht="15" customHeight="1">
      <c r="A18" s="143" t="s">
        <v>74</v>
      </c>
      <c r="B18" s="140" t="s">
        <v>216</v>
      </c>
      <c r="C18" s="151" t="s">
        <v>217</v>
      </c>
      <c r="D18" s="142" t="s">
        <v>183</v>
      </c>
      <c r="E18" s="142">
        <v>5082</v>
      </c>
      <c r="F18" s="143">
        <v>1300</v>
      </c>
      <c r="G18" s="150">
        <f t="shared" ref="G18:G19" si="0">E18/3</f>
        <v>1694</v>
      </c>
      <c r="H18" s="146" t="b">
        <v>1</v>
      </c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</row>
    <row r="19" spans="1:26" ht="15" customHeight="1">
      <c r="A19" s="143" t="s">
        <v>88</v>
      </c>
      <c r="B19" s="140" t="s">
        <v>224</v>
      </c>
      <c r="C19" s="151" t="s">
        <v>225</v>
      </c>
      <c r="D19" s="142" t="s">
        <v>183</v>
      </c>
      <c r="E19" s="142">
        <v>876</v>
      </c>
      <c r="F19" s="143">
        <v>260</v>
      </c>
      <c r="G19" s="150">
        <f t="shared" si="0"/>
        <v>292</v>
      </c>
      <c r="H19" s="149" t="b">
        <v>1</v>
      </c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</row>
    <row r="20" spans="1:26" ht="15" customHeight="1">
      <c r="A20" s="143" t="s">
        <v>74</v>
      </c>
      <c r="B20" s="140" t="s">
        <v>232</v>
      </c>
      <c r="C20" s="141" t="s">
        <v>233</v>
      </c>
      <c r="D20" s="142" t="s">
        <v>84</v>
      </c>
      <c r="E20" s="142">
        <v>0</v>
      </c>
      <c r="F20" s="143">
        <v>2030</v>
      </c>
      <c r="G20" s="145" t="s">
        <v>388</v>
      </c>
      <c r="H20" s="146" t="b">
        <v>1</v>
      </c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</row>
    <row r="21" spans="1:26" ht="15" customHeight="1">
      <c r="A21" s="143" t="s">
        <v>88</v>
      </c>
      <c r="B21" s="140" t="s">
        <v>241</v>
      </c>
      <c r="C21" s="141" t="s">
        <v>242</v>
      </c>
      <c r="D21" s="142" t="s">
        <v>84</v>
      </c>
      <c r="E21" s="142">
        <v>297</v>
      </c>
      <c r="F21" s="143">
        <v>1188</v>
      </c>
      <c r="G21" s="145" t="s">
        <v>388</v>
      </c>
      <c r="H21" s="149" t="b">
        <v>1</v>
      </c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</row>
    <row r="22" spans="1:26" ht="15" customHeight="1">
      <c r="A22" s="143" t="s">
        <v>74</v>
      </c>
      <c r="B22" s="140" t="s">
        <v>249</v>
      </c>
      <c r="C22" s="141" t="s">
        <v>250</v>
      </c>
      <c r="D22" s="142" t="s">
        <v>84</v>
      </c>
      <c r="E22" s="142">
        <v>33</v>
      </c>
      <c r="F22" s="143">
        <v>5000</v>
      </c>
      <c r="G22" s="145" t="s">
        <v>388</v>
      </c>
      <c r="H22" s="146" t="b">
        <v>1</v>
      </c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</row>
    <row r="23" spans="1:26" ht="15" customHeight="1">
      <c r="A23" s="143" t="s">
        <v>88</v>
      </c>
      <c r="B23" s="140" t="s">
        <v>256</v>
      </c>
      <c r="C23" s="141" t="s">
        <v>257</v>
      </c>
      <c r="D23" s="142" t="s">
        <v>84</v>
      </c>
      <c r="E23" s="142">
        <v>4</v>
      </c>
      <c r="F23" s="143">
        <v>7</v>
      </c>
      <c r="G23" s="145" t="s">
        <v>388</v>
      </c>
      <c r="H23" s="149" t="b">
        <v>1</v>
      </c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</row>
    <row r="24" spans="1:26" ht="15" customHeight="1">
      <c r="A24" s="143" t="s">
        <v>88</v>
      </c>
      <c r="B24" s="140" t="s">
        <v>265</v>
      </c>
      <c r="C24" s="141" t="s">
        <v>266</v>
      </c>
      <c r="D24" s="142" t="s">
        <v>84</v>
      </c>
      <c r="E24" s="142">
        <v>280</v>
      </c>
      <c r="F24" s="143">
        <v>1100</v>
      </c>
      <c r="G24" s="145" t="s">
        <v>388</v>
      </c>
      <c r="H24" s="146" t="b">
        <v>1</v>
      </c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</row>
    <row r="25" spans="1:26" ht="75.75">
      <c r="A25" s="143" t="s">
        <v>74</v>
      </c>
      <c r="B25" s="140" t="s">
        <v>274</v>
      </c>
      <c r="C25" s="141" t="s">
        <v>275</v>
      </c>
      <c r="D25" s="142" t="s">
        <v>84</v>
      </c>
      <c r="E25" s="142">
        <v>178</v>
      </c>
      <c r="F25" s="143">
        <v>700</v>
      </c>
      <c r="G25" s="145" t="s">
        <v>388</v>
      </c>
      <c r="H25" s="149" t="b">
        <v>1</v>
      </c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</row>
    <row r="26" spans="1:26" ht="45.75">
      <c r="A26" s="143" t="s">
        <v>88</v>
      </c>
      <c r="B26" s="140" t="s">
        <v>283</v>
      </c>
      <c r="C26" s="141" t="s">
        <v>284</v>
      </c>
      <c r="D26" s="142" t="s">
        <v>84</v>
      </c>
      <c r="E26" s="142">
        <v>96</v>
      </c>
      <c r="F26" s="143">
        <v>400</v>
      </c>
      <c r="G26" s="145" t="s">
        <v>388</v>
      </c>
      <c r="H26" s="146" t="b">
        <v>1</v>
      </c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</row>
    <row r="27" spans="1:26" ht="75.75">
      <c r="A27" s="143"/>
      <c r="B27" s="140" t="s">
        <v>293</v>
      </c>
      <c r="C27" s="141" t="s">
        <v>294</v>
      </c>
      <c r="D27" s="142" t="s">
        <v>84</v>
      </c>
      <c r="E27" s="142">
        <v>3</v>
      </c>
      <c r="F27" s="143">
        <v>12</v>
      </c>
      <c r="G27" s="145" t="s">
        <v>388</v>
      </c>
      <c r="H27" s="149" t="b">
        <v>1</v>
      </c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</row>
    <row r="28" spans="1:26" ht="45.75">
      <c r="A28" s="143" t="s">
        <v>74</v>
      </c>
      <c r="B28" s="140" t="s">
        <v>302</v>
      </c>
      <c r="C28" s="141" t="s">
        <v>303</v>
      </c>
      <c r="D28" s="142" t="s">
        <v>183</v>
      </c>
      <c r="E28" s="142">
        <v>243</v>
      </c>
      <c r="F28" s="143">
        <v>110</v>
      </c>
      <c r="G28" s="150">
        <f t="shared" ref="G28:G29" si="1">E28/3</f>
        <v>81</v>
      </c>
      <c r="H28" s="146" t="b">
        <v>1</v>
      </c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</row>
    <row r="29" spans="1:26" ht="45.75">
      <c r="A29" s="143" t="s">
        <v>88</v>
      </c>
      <c r="B29" s="140" t="s">
        <v>310</v>
      </c>
      <c r="C29" s="141" t="s">
        <v>311</v>
      </c>
      <c r="D29" s="142" t="s">
        <v>183</v>
      </c>
      <c r="E29" s="142">
        <v>526</v>
      </c>
      <c r="F29" s="143">
        <v>150</v>
      </c>
      <c r="G29" s="150">
        <f t="shared" si="1"/>
        <v>175.33333333333334</v>
      </c>
      <c r="H29" s="149" t="b">
        <v>1</v>
      </c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</row>
    <row r="30" spans="1:26" ht="18.75">
      <c r="A30" s="143"/>
      <c r="B30" s="140"/>
      <c r="C30" s="141"/>
      <c r="D30" s="142"/>
      <c r="E30" s="142"/>
      <c r="F30" s="143"/>
      <c r="G30" s="150"/>
      <c r="H30" s="150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</row>
    <row r="31" spans="1:26" ht="18.75">
      <c r="A31" s="143"/>
      <c r="B31" s="140"/>
      <c r="C31" s="141"/>
      <c r="D31" s="142"/>
      <c r="E31" s="142"/>
      <c r="F31" s="143"/>
      <c r="G31" s="152"/>
      <c r="H31" s="152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</row>
    <row r="32" spans="1:26" ht="18.75">
      <c r="A32" s="143"/>
      <c r="B32" s="140"/>
      <c r="C32" s="141"/>
      <c r="D32" s="142"/>
      <c r="E32" s="142"/>
      <c r="F32" s="143"/>
      <c r="G32" s="150"/>
      <c r="H32" s="150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</row>
    <row r="33" spans="1:26" ht="18.75">
      <c r="A33" s="143"/>
      <c r="B33" s="140"/>
      <c r="C33" s="141"/>
      <c r="D33" s="142"/>
      <c r="E33" s="142"/>
      <c r="F33" s="143"/>
      <c r="G33" s="152"/>
      <c r="H33" s="152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</row>
    <row r="34" spans="1:26" ht="18.75">
      <c r="A34" s="143"/>
      <c r="B34" s="140"/>
      <c r="C34" s="141"/>
      <c r="D34" s="142"/>
      <c r="E34" s="142"/>
      <c r="F34" s="143"/>
      <c r="G34" s="150"/>
      <c r="H34" s="150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</row>
    <row r="35" spans="1:26" ht="18.75">
      <c r="A35" s="143"/>
      <c r="B35" s="140"/>
      <c r="C35" s="141"/>
      <c r="D35" s="142"/>
      <c r="E35" s="142"/>
      <c r="F35" s="143"/>
      <c r="G35" s="152"/>
      <c r="H35" s="152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</row>
    <row r="36" spans="1:26" ht="18.75">
      <c r="A36" s="143"/>
      <c r="B36" s="140"/>
      <c r="C36" s="141"/>
      <c r="D36" s="142"/>
      <c r="E36" s="142"/>
      <c r="F36" s="143"/>
      <c r="G36" s="150"/>
      <c r="H36" s="150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</row>
    <row r="37" spans="1:26" ht="18.75">
      <c r="A37" s="143"/>
      <c r="B37" s="140"/>
      <c r="C37" s="141"/>
      <c r="D37" s="142"/>
      <c r="E37" s="142"/>
      <c r="F37" s="143"/>
      <c r="G37" s="152"/>
      <c r="H37" s="152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</row>
    <row r="38" spans="1:26" ht="18.75">
      <c r="A38" s="143"/>
      <c r="B38" s="140"/>
      <c r="C38" s="141"/>
      <c r="D38" s="142"/>
      <c r="E38" s="142"/>
      <c r="F38" s="143"/>
      <c r="G38" s="150"/>
      <c r="H38" s="150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</row>
    <row r="39" spans="1:26" ht="18.75">
      <c r="A39" s="143"/>
      <c r="B39" s="140"/>
      <c r="C39" s="141"/>
      <c r="D39" s="142"/>
      <c r="E39" s="142"/>
      <c r="F39" s="143"/>
      <c r="G39" s="152"/>
      <c r="H39" s="152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</row>
    <row r="40" spans="1:26" ht="18.75">
      <c r="A40" s="143"/>
      <c r="B40" s="140"/>
      <c r="C40" s="141"/>
      <c r="D40" s="142"/>
      <c r="E40" s="142"/>
      <c r="F40" s="143"/>
      <c r="G40" s="150"/>
      <c r="H40" s="150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</row>
    <row r="41" spans="1:26" ht="18.75">
      <c r="A41" s="143"/>
      <c r="B41" s="140"/>
      <c r="C41" s="141"/>
      <c r="D41" s="142"/>
      <c r="E41" s="142"/>
      <c r="F41" s="143"/>
      <c r="G41" s="152"/>
      <c r="H41" s="152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</row>
    <row r="42" spans="1:26" ht="18.75">
      <c r="A42" s="143"/>
      <c r="B42" s="140"/>
      <c r="C42" s="141"/>
      <c r="D42" s="142"/>
      <c r="E42" s="142"/>
      <c r="F42" s="143"/>
      <c r="G42" s="150"/>
      <c r="H42" s="150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</row>
    <row r="43" spans="1:26" ht="18.75">
      <c r="A43" s="143"/>
      <c r="B43" s="140"/>
      <c r="C43" s="141"/>
      <c r="D43" s="142"/>
      <c r="E43" s="142"/>
      <c r="F43" s="143"/>
      <c r="G43" s="152"/>
      <c r="H43" s="152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</row>
    <row r="44" spans="1:26" ht="18.75">
      <c r="A44" s="143"/>
      <c r="B44" s="140"/>
      <c r="C44" s="141"/>
      <c r="D44" s="142"/>
      <c r="E44" s="142"/>
      <c r="F44" s="143"/>
      <c r="G44" s="150"/>
      <c r="H44" s="150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</row>
    <row r="45" spans="1:26" ht="18.75">
      <c r="A45" s="143"/>
      <c r="B45" s="140"/>
      <c r="C45" s="141"/>
      <c r="D45" s="142"/>
      <c r="E45" s="142"/>
      <c r="F45" s="143"/>
      <c r="G45" s="152"/>
      <c r="H45" s="152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</row>
    <row r="46" spans="1:26" ht="18.75">
      <c r="A46" s="143"/>
      <c r="B46" s="140"/>
      <c r="C46" s="141"/>
      <c r="D46" s="142"/>
      <c r="E46" s="142"/>
      <c r="F46" s="143"/>
      <c r="G46" s="150"/>
      <c r="H46" s="150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</row>
    <row r="47" spans="1:26" ht="18.75">
      <c r="A47" s="143"/>
      <c r="B47" s="140"/>
      <c r="C47" s="141"/>
      <c r="D47" s="142"/>
      <c r="E47" s="142"/>
      <c r="F47" s="143"/>
      <c r="G47" s="152"/>
      <c r="H47" s="152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</row>
    <row r="48" spans="1:26" ht="18.75">
      <c r="A48" s="143"/>
      <c r="B48" s="140"/>
      <c r="C48" s="141"/>
      <c r="D48" s="142"/>
      <c r="E48" s="142"/>
      <c r="F48" s="143"/>
      <c r="G48" s="150"/>
      <c r="H48" s="150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</row>
    <row r="49" spans="1:26" ht="18.75">
      <c r="A49" s="143"/>
      <c r="B49" s="140"/>
      <c r="C49" s="141"/>
      <c r="D49" s="142"/>
      <c r="E49" s="142"/>
      <c r="F49" s="143"/>
      <c r="G49" s="152"/>
      <c r="H49" s="152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</row>
    <row r="50" spans="1:26" ht="18.75">
      <c r="A50" s="143"/>
      <c r="B50" s="140"/>
      <c r="C50" s="141"/>
      <c r="D50" s="142"/>
      <c r="E50" s="142"/>
      <c r="F50" s="143"/>
      <c r="G50" s="150"/>
      <c r="H50" s="150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</row>
    <row r="51" spans="1:26" ht="18.75">
      <c r="A51" s="143"/>
      <c r="B51" s="140"/>
      <c r="C51" s="141"/>
      <c r="D51" s="142"/>
      <c r="E51" s="142"/>
      <c r="F51" s="143"/>
      <c r="G51" s="152"/>
      <c r="H51" s="152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</row>
    <row r="52" spans="1:26" ht="18.75">
      <c r="A52" s="143"/>
      <c r="B52" s="140"/>
      <c r="C52" s="141"/>
      <c r="D52" s="142"/>
      <c r="E52" s="142"/>
      <c r="F52" s="143"/>
      <c r="G52" s="150"/>
      <c r="H52" s="150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</row>
    <row r="53" spans="1:26" ht="18.75">
      <c r="A53" s="143"/>
      <c r="B53" s="140"/>
      <c r="C53" s="141"/>
      <c r="D53" s="142"/>
      <c r="E53" s="142"/>
      <c r="F53" s="143"/>
      <c r="G53" s="152"/>
      <c r="H53" s="152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</row>
    <row r="54" spans="1:26" ht="18.75">
      <c r="A54" s="143"/>
      <c r="B54" s="140"/>
      <c r="C54" s="141"/>
      <c r="D54" s="142"/>
      <c r="E54" s="142"/>
      <c r="F54" s="143"/>
      <c r="G54" s="150"/>
      <c r="H54" s="150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</row>
    <row r="55" spans="1:26" ht="18.75">
      <c r="A55" s="143"/>
      <c r="B55" s="140"/>
      <c r="C55" s="141"/>
      <c r="D55" s="142"/>
      <c r="E55" s="142"/>
      <c r="F55" s="143"/>
      <c r="G55" s="152"/>
      <c r="H55" s="152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</row>
    <row r="56" spans="1:26" ht="18.75">
      <c r="A56" s="143"/>
      <c r="B56" s="140"/>
      <c r="C56" s="141"/>
      <c r="D56" s="142"/>
      <c r="E56" s="142"/>
      <c r="F56" s="143"/>
      <c r="G56" s="150"/>
      <c r="H56" s="150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</row>
    <row r="57" spans="1:26" ht="18.75">
      <c r="A57" s="143"/>
      <c r="B57" s="140"/>
      <c r="C57" s="141"/>
      <c r="D57" s="142"/>
      <c r="E57" s="142"/>
      <c r="F57" s="143"/>
      <c r="G57" s="152"/>
      <c r="H57" s="152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</row>
    <row r="58" spans="1:26" ht="18.75">
      <c r="A58" s="143"/>
      <c r="B58" s="140"/>
      <c r="C58" s="141"/>
      <c r="D58" s="142"/>
      <c r="E58" s="142"/>
      <c r="F58" s="143"/>
      <c r="G58" s="150"/>
      <c r="H58" s="150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</row>
    <row r="59" spans="1:26" ht="18.75">
      <c r="A59" s="143"/>
      <c r="B59" s="140"/>
      <c r="C59" s="141"/>
      <c r="D59" s="142"/>
      <c r="E59" s="142"/>
      <c r="F59" s="143"/>
      <c r="G59" s="152"/>
      <c r="H59" s="152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</row>
    <row r="60" spans="1:26" ht="18.75">
      <c r="A60" s="143"/>
      <c r="B60" s="140"/>
      <c r="C60" s="141"/>
      <c r="D60" s="142"/>
      <c r="E60" s="142"/>
      <c r="F60" s="143"/>
      <c r="G60" s="150"/>
      <c r="H60" s="150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</row>
    <row r="61" spans="1:26" ht="18.75">
      <c r="A61" s="143"/>
      <c r="B61" s="140"/>
      <c r="C61" s="141"/>
      <c r="D61" s="142"/>
      <c r="E61" s="142"/>
      <c r="F61" s="143"/>
      <c r="G61" s="152"/>
      <c r="H61" s="152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</row>
    <row r="62" spans="1:26" ht="18.75">
      <c r="A62" s="143"/>
      <c r="B62" s="140"/>
      <c r="C62" s="141"/>
      <c r="D62" s="142"/>
      <c r="E62" s="142"/>
      <c r="F62" s="143"/>
      <c r="G62" s="150"/>
      <c r="H62" s="150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</row>
    <row r="63" spans="1:26" ht="18.75">
      <c r="A63" s="143"/>
      <c r="B63" s="140"/>
      <c r="C63" s="141"/>
      <c r="D63" s="142"/>
      <c r="E63" s="142"/>
      <c r="F63" s="143"/>
      <c r="G63" s="152"/>
      <c r="H63" s="152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</row>
    <row r="64" spans="1:26" ht="18.75">
      <c r="A64" s="143"/>
      <c r="B64" s="140"/>
      <c r="C64" s="141"/>
      <c r="D64" s="142"/>
      <c r="E64" s="142"/>
      <c r="F64" s="143"/>
      <c r="G64" s="150"/>
      <c r="H64" s="150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</row>
    <row r="65" spans="1:26" ht="18.75">
      <c r="A65" s="143"/>
      <c r="B65" s="140"/>
      <c r="C65" s="141"/>
      <c r="D65" s="142"/>
      <c r="E65" s="142"/>
      <c r="F65" s="143"/>
      <c r="G65" s="152"/>
      <c r="H65" s="152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</row>
    <row r="66" spans="1:26" ht="18.75">
      <c r="A66" s="143"/>
      <c r="B66" s="140"/>
      <c r="C66" s="141"/>
      <c r="D66" s="142"/>
      <c r="E66" s="142"/>
      <c r="F66" s="143"/>
      <c r="G66" s="150"/>
      <c r="H66" s="150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</row>
    <row r="67" spans="1:26" ht="18.75">
      <c r="A67" s="143"/>
      <c r="B67" s="140"/>
      <c r="C67" s="141"/>
      <c r="D67" s="142"/>
      <c r="E67" s="142"/>
      <c r="F67" s="143"/>
      <c r="G67" s="152"/>
      <c r="H67" s="152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</row>
    <row r="68" spans="1:26" ht="18.75">
      <c r="A68" s="143"/>
      <c r="B68" s="140"/>
      <c r="C68" s="141"/>
      <c r="D68" s="142"/>
      <c r="E68" s="142"/>
      <c r="F68" s="143"/>
      <c r="G68" s="150"/>
      <c r="H68" s="150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</row>
    <row r="69" spans="1:26" ht="18.75">
      <c r="A69" s="143"/>
      <c r="B69" s="140"/>
      <c r="C69" s="141"/>
      <c r="D69" s="142"/>
      <c r="E69" s="142"/>
      <c r="F69" s="143"/>
      <c r="G69" s="152"/>
      <c r="H69" s="152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</row>
    <row r="70" spans="1:26" ht="18.75">
      <c r="A70" s="143"/>
      <c r="B70" s="140"/>
      <c r="C70" s="141"/>
      <c r="D70" s="142"/>
      <c r="E70" s="142"/>
      <c r="F70" s="143"/>
      <c r="G70" s="150"/>
      <c r="H70" s="150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</row>
    <row r="71" spans="1:26" ht="18.75">
      <c r="A71" s="143"/>
      <c r="B71" s="140"/>
      <c r="C71" s="141"/>
      <c r="D71" s="142"/>
      <c r="E71" s="142"/>
      <c r="F71" s="143"/>
      <c r="G71" s="152"/>
      <c r="H71" s="152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</row>
    <row r="72" spans="1:26" ht="18.75">
      <c r="A72" s="143"/>
      <c r="B72" s="140"/>
      <c r="C72" s="141"/>
      <c r="D72" s="142"/>
      <c r="E72" s="142"/>
      <c r="F72" s="143"/>
      <c r="G72" s="150"/>
      <c r="H72" s="150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</row>
    <row r="73" spans="1:26" ht="18.75">
      <c r="A73" s="143"/>
      <c r="B73" s="140"/>
      <c r="C73" s="141"/>
      <c r="D73" s="142"/>
      <c r="E73" s="142"/>
      <c r="F73" s="143"/>
      <c r="G73" s="152"/>
      <c r="H73" s="152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</row>
    <row r="74" spans="1:26" ht="18.75">
      <c r="A74" s="143"/>
      <c r="B74" s="140"/>
      <c r="C74" s="141"/>
      <c r="D74" s="142"/>
      <c r="E74" s="142"/>
      <c r="F74" s="143"/>
      <c r="G74" s="150"/>
      <c r="H74" s="150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</row>
    <row r="75" spans="1:26" ht="18.75">
      <c r="A75" s="143"/>
      <c r="B75" s="140"/>
      <c r="C75" s="141"/>
      <c r="D75" s="142"/>
      <c r="E75" s="142"/>
      <c r="F75" s="143"/>
      <c r="G75" s="152"/>
      <c r="H75" s="152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</row>
    <row r="76" spans="1:26" ht="18.75">
      <c r="A76" s="143"/>
      <c r="B76" s="140"/>
      <c r="C76" s="141"/>
      <c r="D76" s="142"/>
      <c r="E76" s="142"/>
      <c r="F76" s="143"/>
      <c r="G76" s="150"/>
      <c r="H76" s="150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</row>
    <row r="77" spans="1:26" ht="18.75">
      <c r="A77" s="143"/>
      <c r="B77" s="140"/>
      <c r="C77" s="141"/>
      <c r="D77" s="142"/>
      <c r="E77" s="142"/>
      <c r="F77" s="143"/>
      <c r="G77" s="152"/>
      <c r="H77" s="152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</row>
    <row r="78" spans="1:26" ht="18.75">
      <c r="A78" s="143"/>
      <c r="B78" s="140"/>
      <c r="C78" s="141"/>
      <c r="D78" s="142"/>
      <c r="E78" s="142"/>
      <c r="F78" s="143"/>
      <c r="G78" s="150"/>
      <c r="H78" s="150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</row>
    <row r="79" spans="1:26" ht="18.75">
      <c r="A79" s="143"/>
      <c r="B79" s="140"/>
      <c r="C79" s="141"/>
      <c r="D79" s="142"/>
      <c r="E79" s="142"/>
      <c r="F79" s="143"/>
      <c r="G79" s="152"/>
      <c r="H79" s="152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</row>
    <row r="80" spans="1:26" ht="18.75">
      <c r="A80" s="143"/>
      <c r="B80" s="140"/>
      <c r="C80" s="141"/>
      <c r="D80" s="142"/>
      <c r="E80" s="142"/>
      <c r="F80" s="143"/>
      <c r="G80" s="150"/>
      <c r="H80" s="150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</row>
    <row r="81" spans="1:26" ht="18.75">
      <c r="A81" s="143"/>
      <c r="B81" s="140"/>
      <c r="C81" s="141"/>
      <c r="D81" s="142"/>
      <c r="E81" s="142"/>
      <c r="F81" s="143"/>
      <c r="G81" s="152"/>
      <c r="H81" s="152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</row>
    <row r="82" spans="1:26" ht="18.75">
      <c r="A82" s="143"/>
      <c r="B82" s="140"/>
      <c r="C82" s="141"/>
      <c r="D82" s="142"/>
      <c r="E82" s="142"/>
      <c r="F82" s="143"/>
      <c r="G82" s="150"/>
      <c r="H82" s="150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</row>
    <row r="83" spans="1:26" ht="18.75">
      <c r="A83" s="143"/>
      <c r="B83" s="140"/>
      <c r="C83" s="141"/>
      <c r="D83" s="142"/>
      <c r="E83" s="142"/>
      <c r="F83" s="143"/>
      <c r="G83" s="152"/>
      <c r="H83" s="152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</row>
    <row r="84" spans="1:26" ht="18.75">
      <c r="A84" s="143"/>
      <c r="B84" s="140"/>
      <c r="C84" s="141"/>
      <c r="D84" s="142"/>
      <c r="E84" s="142"/>
      <c r="F84" s="143"/>
      <c r="G84" s="150"/>
      <c r="H84" s="150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</row>
    <row r="85" spans="1:26" ht="18.75">
      <c r="A85" s="143"/>
      <c r="B85" s="140"/>
      <c r="C85" s="141"/>
      <c r="D85" s="142"/>
      <c r="E85" s="142"/>
      <c r="F85" s="143"/>
      <c r="G85" s="152"/>
      <c r="H85" s="152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</row>
    <row r="86" spans="1:26" ht="18.75">
      <c r="A86" s="143"/>
      <c r="B86" s="140"/>
      <c r="C86" s="141"/>
      <c r="D86" s="142"/>
      <c r="E86" s="142"/>
      <c r="F86" s="143"/>
      <c r="G86" s="150"/>
      <c r="H86" s="150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</row>
    <row r="87" spans="1:26" ht="18.75">
      <c r="A87" s="143"/>
      <c r="B87" s="140"/>
      <c r="C87" s="141"/>
      <c r="D87" s="142"/>
      <c r="E87" s="142"/>
      <c r="F87" s="143"/>
      <c r="G87" s="152"/>
      <c r="H87" s="152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</row>
    <row r="88" spans="1:26" ht="18.75">
      <c r="A88" s="143"/>
      <c r="B88" s="140"/>
      <c r="C88" s="141"/>
      <c r="D88" s="142"/>
      <c r="E88" s="142"/>
      <c r="F88" s="143"/>
      <c r="G88" s="150"/>
      <c r="H88" s="150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</row>
    <row r="89" spans="1:26" ht="18.75">
      <c r="A89" s="143"/>
      <c r="B89" s="140"/>
      <c r="C89" s="141"/>
      <c r="D89" s="142"/>
      <c r="E89" s="142"/>
      <c r="F89" s="143"/>
      <c r="G89" s="152"/>
      <c r="H89" s="152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</row>
    <row r="90" spans="1:26" ht="18.75">
      <c r="A90" s="143"/>
      <c r="B90" s="140"/>
      <c r="C90" s="141"/>
      <c r="D90" s="142"/>
      <c r="E90" s="142"/>
      <c r="F90" s="143"/>
      <c r="G90" s="150"/>
      <c r="H90" s="150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</row>
    <row r="91" spans="1:26" ht="18.75">
      <c r="A91" s="143"/>
      <c r="B91" s="140"/>
      <c r="C91" s="141"/>
      <c r="D91" s="142"/>
      <c r="E91" s="142"/>
      <c r="F91" s="143"/>
      <c r="G91" s="152"/>
      <c r="H91" s="152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</row>
    <row r="92" spans="1:26" ht="18.75">
      <c r="A92" s="143"/>
      <c r="B92" s="140"/>
      <c r="C92" s="141"/>
      <c r="D92" s="142"/>
      <c r="E92" s="142"/>
      <c r="F92" s="143"/>
      <c r="G92" s="150"/>
      <c r="H92" s="150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</row>
    <row r="93" spans="1:26" ht="18.75">
      <c r="A93" s="143"/>
      <c r="B93" s="140"/>
      <c r="C93" s="141"/>
      <c r="D93" s="142"/>
      <c r="E93" s="142"/>
      <c r="F93" s="143"/>
      <c r="G93" s="152"/>
      <c r="H93" s="152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</row>
    <row r="94" spans="1:26" ht="18.75">
      <c r="A94" s="143"/>
      <c r="B94" s="140"/>
      <c r="C94" s="141"/>
      <c r="D94" s="142"/>
      <c r="E94" s="142"/>
      <c r="F94" s="143"/>
      <c r="G94" s="150"/>
      <c r="H94" s="150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</row>
    <row r="95" spans="1:26" ht="18.75">
      <c r="A95" s="143"/>
      <c r="B95" s="140"/>
      <c r="C95" s="141"/>
      <c r="D95" s="142"/>
      <c r="E95" s="142"/>
      <c r="F95" s="143"/>
      <c r="G95" s="152"/>
      <c r="H95" s="152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</row>
    <row r="96" spans="1:26" ht="18.75">
      <c r="A96" s="143"/>
      <c r="B96" s="140"/>
      <c r="C96" s="141"/>
      <c r="D96" s="142"/>
      <c r="E96" s="142"/>
      <c r="F96" s="143"/>
      <c r="G96" s="150"/>
      <c r="H96" s="150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</row>
    <row r="97" spans="1:26" ht="18.75">
      <c r="A97" s="143"/>
      <c r="B97" s="140"/>
      <c r="C97" s="141"/>
      <c r="D97" s="142"/>
      <c r="E97" s="142"/>
      <c r="F97" s="143"/>
      <c r="G97" s="152"/>
      <c r="H97" s="152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</row>
    <row r="98" spans="1:26" ht="18.75">
      <c r="A98" s="143"/>
      <c r="B98" s="140"/>
      <c r="C98" s="141"/>
      <c r="D98" s="142"/>
      <c r="E98" s="142"/>
      <c r="F98" s="143"/>
      <c r="G98" s="150"/>
      <c r="H98" s="150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</row>
    <row r="99" spans="1:26" ht="18.75">
      <c r="A99" s="143"/>
      <c r="B99" s="140"/>
      <c r="C99" s="141"/>
      <c r="D99" s="142"/>
      <c r="E99" s="142"/>
      <c r="F99" s="143"/>
      <c r="G99" s="152"/>
      <c r="H99" s="152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</row>
    <row r="100" spans="1:26" ht="18.75">
      <c r="A100" s="143"/>
      <c r="B100" s="140"/>
      <c r="C100" s="141"/>
      <c r="D100" s="142"/>
      <c r="E100" s="142"/>
      <c r="F100" s="143"/>
      <c r="G100" s="150"/>
      <c r="H100" s="150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</row>
    <row r="101" spans="1:26" ht="18.75">
      <c r="A101" s="143"/>
      <c r="B101" s="140"/>
      <c r="C101" s="141"/>
      <c r="D101" s="142"/>
      <c r="E101" s="142"/>
      <c r="F101" s="143"/>
      <c r="G101" s="152"/>
      <c r="H101" s="152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</row>
    <row r="102" spans="1:26" ht="18.75">
      <c r="A102" s="143"/>
      <c r="B102" s="140"/>
      <c r="C102" s="141"/>
      <c r="D102" s="142"/>
      <c r="E102" s="142"/>
      <c r="F102" s="143"/>
      <c r="G102" s="150"/>
      <c r="H102" s="150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</row>
    <row r="103" spans="1:26" ht="18.75">
      <c r="A103" s="143"/>
      <c r="B103" s="140"/>
      <c r="C103" s="141"/>
      <c r="D103" s="142"/>
      <c r="E103" s="142"/>
      <c r="F103" s="143"/>
      <c r="G103" s="152"/>
      <c r="H103" s="152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</row>
    <row r="104" spans="1:26" ht="18.75">
      <c r="A104" s="143"/>
      <c r="B104" s="140"/>
      <c r="C104" s="141"/>
      <c r="D104" s="142"/>
      <c r="E104" s="142"/>
      <c r="F104" s="143"/>
      <c r="G104" s="150"/>
      <c r="H104" s="150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</row>
    <row r="105" spans="1:26" ht="18.75">
      <c r="A105" s="143"/>
      <c r="B105" s="140"/>
      <c r="C105" s="141"/>
      <c r="D105" s="142"/>
      <c r="E105" s="142"/>
      <c r="F105" s="143"/>
      <c r="G105" s="152"/>
      <c r="H105" s="152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</row>
    <row r="106" spans="1:26" ht="18.75">
      <c r="A106" s="143"/>
      <c r="B106" s="140"/>
      <c r="C106" s="141"/>
      <c r="D106" s="142"/>
      <c r="E106" s="142"/>
      <c r="F106" s="143"/>
      <c r="G106" s="150"/>
      <c r="H106" s="150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</row>
    <row r="107" spans="1:26" ht="18.75">
      <c r="A107" s="143"/>
      <c r="B107" s="140"/>
      <c r="C107" s="141"/>
      <c r="D107" s="142"/>
      <c r="E107" s="142"/>
      <c r="F107" s="143"/>
      <c r="G107" s="152"/>
      <c r="H107" s="152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</row>
    <row r="108" spans="1:26" ht="18.75">
      <c r="A108" s="143"/>
      <c r="B108" s="140"/>
      <c r="C108" s="141"/>
      <c r="D108" s="142"/>
      <c r="E108" s="142"/>
      <c r="F108" s="143"/>
      <c r="G108" s="150"/>
      <c r="H108" s="150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</row>
    <row r="109" spans="1:26" ht="18.75">
      <c r="A109" s="143"/>
      <c r="B109" s="140"/>
      <c r="C109" s="141"/>
      <c r="D109" s="142"/>
      <c r="E109" s="142"/>
      <c r="F109" s="143"/>
      <c r="G109" s="152"/>
      <c r="H109" s="152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</row>
    <row r="110" spans="1:26" ht="18.75">
      <c r="A110" s="143"/>
      <c r="B110" s="140"/>
      <c r="C110" s="141"/>
      <c r="D110" s="142"/>
      <c r="E110" s="142"/>
      <c r="F110" s="143"/>
      <c r="G110" s="150"/>
      <c r="H110" s="150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</row>
    <row r="111" spans="1:26" ht="18.75">
      <c r="A111" s="143"/>
      <c r="B111" s="140"/>
      <c r="C111" s="141"/>
      <c r="D111" s="142"/>
      <c r="E111" s="142"/>
      <c r="F111" s="143"/>
      <c r="G111" s="152"/>
      <c r="H111" s="152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</row>
    <row r="112" spans="1:26" ht="18.75">
      <c r="A112" s="143"/>
      <c r="B112" s="140"/>
      <c r="C112" s="141"/>
      <c r="D112" s="142"/>
      <c r="E112" s="142"/>
      <c r="F112" s="143"/>
      <c r="G112" s="150"/>
      <c r="H112" s="150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</row>
    <row r="113" spans="1:26" ht="18.75">
      <c r="A113" s="143"/>
      <c r="B113" s="140"/>
      <c r="C113" s="141"/>
      <c r="D113" s="142"/>
      <c r="E113" s="142"/>
      <c r="F113" s="143"/>
      <c r="G113" s="152"/>
      <c r="H113" s="152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</row>
    <row r="114" spans="1:26" ht="18.75">
      <c r="A114" s="143"/>
      <c r="B114" s="140"/>
      <c r="C114" s="141"/>
      <c r="D114" s="142"/>
      <c r="E114" s="142"/>
      <c r="F114" s="143"/>
      <c r="G114" s="150"/>
      <c r="H114" s="150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</row>
    <row r="115" spans="1:26" ht="18.75">
      <c r="A115" s="143"/>
      <c r="B115" s="140"/>
      <c r="C115" s="141"/>
      <c r="D115" s="142"/>
      <c r="E115" s="142"/>
      <c r="F115" s="143"/>
      <c r="G115" s="152"/>
      <c r="H115" s="152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</row>
    <row r="116" spans="1:26" ht="18.75">
      <c r="A116" s="143"/>
      <c r="B116" s="140"/>
      <c r="C116" s="141"/>
      <c r="D116" s="142"/>
      <c r="E116" s="142"/>
      <c r="F116" s="143"/>
      <c r="G116" s="150"/>
      <c r="H116" s="150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</row>
    <row r="117" spans="1:26" ht="18.75">
      <c r="A117" s="143"/>
      <c r="B117" s="140"/>
      <c r="C117" s="141"/>
      <c r="D117" s="142"/>
      <c r="E117" s="142"/>
      <c r="F117" s="143"/>
      <c r="G117" s="152"/>
      <c r="H117" s="152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</row>
    <row r="118" spans="1:26" ht="18.75">
      <c r="A118" s="143"/>
      <c r="B118" s="140"/>
      <c r="C118" s="141"/>
      <c r="D118" s="142"/>
      <c r="E118" s="142"/>
      <c r="F118" s="143"/>
      <c r="G118" s="150"/>
      <c r="H118" s="150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</row>
    <row r="119" spans="1:26" ht="18.75">
      <c r="A119" s="143"/>
      <c r="B119" s="140"/>
      <c r="C119" s="141"/>
      <c r="D119" s="142"/>
      <c r="E119" s="142"/>
      <c r="F119" s="143"/>
      <c r="G119" s="152"/>
      <c r="H119" s="152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</row>
    <row r="120" spans="1:26" ht="18.75">
      <c r="A120" s="143"/>
      <c r="B120" s="140"/>
      <c r="C120" s="141"/>
      <c r="D120" s="142"/>
      <c r="E120" s="142"/>
      <c r="F120" s="143"/>
      <c r="G120" s="150"/>
      <c r="H120" s="150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</row>
    <row r="121" spans="1:26" ht="18.75">
      <c r="A121" s="143"/>
      <c r="B121" s="140"/>
      <c r="C121" s="141"/>
      <c r="D121" s="142"/>
      <c r="E121" s="142"/>
      <c r="F121" s="143"/>
      <c r="G121" s="152"/>
      <c r="H121" s="152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</row>
    <row r="122" spans="1:26" ht="18.75">
      <c r="A122" s="143"/>
      <c r="B122" s="140"/>
      <c r="C122" s="141"/>
      <c r="D122" s="142"/>
      <c r="E122" s="142"/>
      <c r="F122" s="143"/>
      <c r="G122" s="150"/>
      <c r="H122" s="150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</row>
    <row r="123" spans="1:26" ht="18.75">
      <c r="A123" s="143"/>
      <c r="B123" s="140"/>
      <c r="C123" s="141"/>
      <c r="D123" s="142"/>
      <c r="E123" s="142"/>
      <c r="F123" s="143"/>
      <c r="G123" s="152"/>
      <c r="H123" s="152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</row>
    <row r="124" spans="1:26" ht="18.75">
      <c r="A124" s="143"/>
      <c r="B124" s="140"/>
      <c r="C124" s="141"/>
      <c r="D124" s="142"/>
      <c r="E124" s="142"/>
      <c r="F124" s="143"/>
      <c r="G124" s="150"/>
      <c r="H124" s="150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</row>
    <row r="125" spans="1:26" ht="18.75">
      <c r="A125" s="143"/>
      <c r="B125" s="140"/>
      <c r="C125" s="141"/>
      <c r="D125" s="142"/>
      <c r="E125" s="142"/>
      <c r="F125" s="143"/>
      <c r="G125" s="152"/>
      <c r="H125" s="152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</row>
    <row r="126" spans="1:26" ht="18.75">
      <c r="A126" s="143"/>
      <c r="B126" s="140"/>
      <c r="C126" s="141"/>
      <c r="D126" s="142"/>
      <c r="E126" s="142"/>
      <c r="F126" s="143"/>
      <c r="G126" s="150"/>
      <c r="H126" s="150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</row>
    <row r="127" spans="1:26" ht="18.75">
      <c r="A127" s="143"/>
      <c r="B127" s="140"/>
      <c r="C127" s="141"/>
      <c r="D127" s="142"/>
      <c r="E127" s="142"/>
      <c r="F127" s="143"/>
      <c r="G127" s="152"/>
      <c r="H127" s="152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</row>
    <row r="128" spans="1:26" ht="18.75">
      <c r="A128" s="143"/>
      <c r="B128" s="140"/>
      <c r="C128" s="141"/>
      <c r="D128" s="142"/>
      <c r="E128" s="142"/>
      <c r="F128" s="143"/>
      <c r="G128" s="150"/>
      <c r="H128" s="150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</row>
    <row r="129" spans="1:26" ht="18.75">
      <c r="A129" s="143"/>
      <c r="B129" s="140"/>
      <c r="C129" s="141"/>
      <c r="D129" s="142"/>
      <c r="E129" s="142"/>
      <c r="F129" s="143"/>
      <c r="G129" s="152"/>
      <c r="H129" s="152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</row>
    <row r="130" spans="1:26" ht="18.75">
      <c r="A130" s="143"/>
      <c r="B130" s="140"/>
      <c r="C130" s="141"/>
      <c r="D130" s="142"/>
      <c r="E130" s="142"/>
      <c r="F130" s="143"/>
      <c r="G130" s="150"/>
      <c r="H130" s="150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</row>
    <row r="131" spans="1:26" ht="18.75">
      <c r="A131" s="143"/>
      <c r="B131" s="140"/>
      <c r="C131" s="141"/>
      <c r="D131" s="142"/>
      <c r="E131" s="142"/>
      <c r="F131" s="143"/>
      <c r="G131" s="152"/>
      <c r="H131" s="152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</row>
    <row r="132" spans="1:26" ht="18.75">
      <c r="A132" s="143"/>
      <c r="B132" s="140"/>
      <c r="C132" s="141"/>
      <c r="D132" s="142"/>
      <c r="E132" s="142"/>
      <c r="F132" s="143"/>
      <c r="G132" s="150"/>
      <c r="H132" s="150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</row>
    <row r="133" spans="1:26" ht="18.75">
      <c r="A133" s="143"/>
      <c r="B133" s="140"/>
      <c r="C133" s="141"/>
      <c r="D133" s="142"/>
      <c r="E133" s="142"/>
      <c r="F133" s="143"/>
      <c r="G133" s="152"/>
      <c r="H133" s="152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</row>
    <row r="134" spans="1:26" ht="18.75">
      <c r="A134" s="143"/>
      <c r="B134" s="140"/>
      <c r="C134" s="141"/>
      <c r="D134" s="142"/>
      <c r="E134" s="142"/>
      <c r="F134" s="143"/>
      <c r="G134" s="150"/>
      <c r="H134" s="150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</row>
    <row r="135" spans="1:26" ht="18.75">
      <c r="A135" s="143"/>
      <c r="B135" s="140"/>
      <c r="C135" s="141"/>
      <c r="D135" s="142"/>
      <c r="E135" s="142"/>
      <c r="F135" s="143"/>
      <c r="G135" s="152"/>
      <c r="H135" s="152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</row>
    <row r="136" spans="1:26" ht="18.75">
      <c r="A136" s="143"/>
      <c r="B136" s="140"/>
      <c r="C136" s="141"/>
      <c r="D136" s="142"/>
      <c r="E136" s="142"/>
      <c r="F136" s="143"/>
      <c r="G136" s="150"/>
      <c r="H136" s="150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</row>
    <row r="137" spans="1:26" ht="18.75">
      <c r="A137" s="143"/>
      <c r="B137" s="140"/>
      <c r="C137" s="141"/>
      <c r="D137" s="142"/>
      <c r="E137" s="142"/>
      <c r="F137" s="143"/>
      <c r="G137" s="152"/>
      <c r="H137" s="152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</row>
    <row r="138" spans="1:26" ht="18.75">
      <c r="A138" s="143"/>
      <c r="B138" s="140"/>
      <c r="C138" s="141"/>
      <c r="D138" s="142"/>
      <c r="E138" s="142"/>
      <c r="F138" s="143"/>
      <c r="G138" s="150"/>
      <c r="H138" s="150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</row>
    <row r="139" spans="1:26" ht="18.75">
      <c r="A139" s="143"/>
      <c r="B139" s="140"/>
      <c r="C139" s="141"/>
      <c r="D139" s="142"/>
      <c r="E139" s="142"/>
      <c r="F139" s="143"/>
      <c r="G139" s="152"/>
      <c r="H139" s="152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</row>
    <row r="140" spans="1:26" ht="18.75">
      <c r="A140" s="143"/>
      <c r="B140" s="140"/>
      <c r="C140" s="141"/>
      <c r="D140" s="142"/>
      <c r="E140" s="142"/>
      <c r="F140" s="143"/>
      <c r="G140" s="150"/>
      <c r="H140" s="150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</row>
    <row r="141" spans="1:26" ht="18.75">
      <c r="A141" s="143"/>
      <c r="B141" s="140"/>
      <c r="C141" s="141"/>
      <c r="D141" s="142"/>
      <c r="E141" s="142"/>
      <c r="F141" s="143"/>
      <c r="G141" s="152"/>
      <c r="H141" s="152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</row>
    <row r="142" spans="1:26" ht="18.75">
      <c r="A142" s="143"/>
      <c r="B142" s="140"/>
      <c r="C142" s="141"/>
      <c r="D142" s="142"/>
      <c r="E142" s="142"/>
      <c r="F142" s="143"/>
      <c r="G142" s="150"/>
      <c r="H142" s="150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</row>
    <row r="143" spans="1:26" ht="18.75">
      <c r="A143" s="143"/>
      <c r="B143" s="140"/>
      <c r="C143" s="141"/>
      <c r="D143" s="142"/>
      <c r="E143" s="142"/>
      <c r="F143" s="143"/>
      <c r="G143" s="152"/>
      <c r="H143" s="152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</row>
    <row r="144" spans="1:26" ht="18.75">
      <c r="A144" s="143"/>
      <c r="B144" s="140"/>
      <c r="C144" s="141"/>
      <c r="D144" s="142"/>
      <c r="E144" s="142"/>
      <c r="F144" s="143"/>
      <c r="G144" s="150"/>
      <c r="H144" s="150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</row>
    <row r="145" spans="1:26" ht="18.75">
      <c r="A145" s="143"/>
      <c r="B145" s="140"/>
      <c r="C145" s="141"/>
      <c r="D145" s="142"/>
      <c r="E145" s="142"/>
      <c r="F145" s="143"/>
      <c r="G145" s="152"/>
      <c r="H145" s="152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</row>
    <row r="146" spans="1:26" ht="18.75">
      <c r="A146" s="143"/>
      <c r="B146" s="140"/>
      <c r="C146" s="141"/>
      <c r="D146" s="142"/>
      <c r="E146" s="142"/>
      <c r="F146" s="143"/>
      <c r="G146" s="150"/>
      <c r="H146" s="150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</row>
    <row r="147" spans="1:26" ht="18.75">
      <c r="A147" s="143"/>
      <c r="B147" s="140"/>
      <c r="C147" s="141"/>
      <c r="D147" s="142"/>
      <c r="E147" s="142"/>
      <c r="F147" s="143"/>
      <c r="G147" s="152"/>
      <c r="H147" s="152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</row>
    <row r="148" spans="1:26" ht="18.75">
      <c r="A148" s="143"/>
      <c r="B148" s="140"/>
      <c r="C148" s="141"/>
      <c r="D148" s="142"/>
      <c r="E148" s="142"/>
      <c r="F148" s="143"/>
      <c r="G148" s="150"/>
      <c r="H148" s="150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</row>
    <row r="149" spans="1:26" ht="18.75">
      <c r="A149" s="143"/>
      <c r="B149" s="140"/>
      <c r="C149" s="141"/>
      <c r="D149" s="142"/>
      <c r="E149" s="142"/>
      <c r="F149" s="143"/>
      <c r="G149" s="152"/>
      <c r="H149" s="152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</row>
    <row r="150" spans="1:26" ht="18.75">
      <c r="A150" s="143"/>
      <c r="B150" s="140"/>
      <c r="C150" s="141"/>
      <c r="D150" s="142"/>
      <c r="E150" s="142"/>
      <c r="F150" s="143"/>
      <c r="G150" s="150"/>
      <c r="H150" s="150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</row>
    <row r="151" spans="1:26" ht="18.75">
      <c r="A151" s="143"/>
      <c r="B151" s="140"/>
      <c r="C151" s="141"/>
      <c r="D151" s="142"/>
      <c r="E151" s="142"/>
      <c r="F151" s="143"/>
      <c r="G151" s="152"/>
      <c r="H151" s="152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</row>
    <row r="152" spans="1:26" ht="18.75">
      <c r="A152" s="143"/>
      <c r="B152" s="140"/>
      <c r="C152" s="141"/>
      <c r="D152" s="142"/>
      <c r="E152" s="142"/>
      <c r="F152" s="143"/>
      <c r="G152" s="150"/>
      <c r="H152" s="150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</row>
    <row r="153" spans="1:26" ht="18.75">
      <c r="A153" s="143"/>
      <c r="B153" s="140"/>
      <c r="C153" s="141"/>
      <c r="D153" s="142"/>
      <c r="E153" s="142"/>
      <c r="F153" s="143"/>
      <c r="G153" s="152"/>
      <c r="H153" s="152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</row>
    <row r="154" spans="1:26" ht="18.75">
      <c r="A154" s="143"/>
      <c r="B154" s="140"/>
      <c r="C154" s="141"/>
      <c r="D154" s="142"/>
      <c r="E154" s="142"/>
      <c r="F154" s="143"/>
      <c r="G154" s="150"/>
      <c r="H154" s="150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</row>
    <row r="155" spans="1:26" ht="18.75">
      <c r="A155" s="143"/>
      <c r="B155" s="140"/>
      <c r="C155" s="141"/>
      <c r="D155" s="142"/>
      <c r="E155" s="142"/>
      <c r="F155" s="143"/>
      <c r="G155" s="152"/>
      <c r="H155" s="152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</row>
    <row r="156" spans="1:26" ht="18.75">
      <c r="A156" s="143"/>
      <c r="B156" s="140"/>
      <c r="C156" s="141"/>
      <c r="D156" s="142"/>
      <c r="E156" s="142"/>
      <c r="F156" s="143"/>
      <c r="G156" s="150"/>
      <c r="H156" s="150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</row>
    <row r="157" spans="1:26" ht="18.75">
      <c r="A157" s="143"/>
      <c r="B157" s="140"/>
      <c r="C157" s="141"/>
      <c r="D157" s="142"/>
      <c r="E157" s="142"/>
      <c r="F157" s="143"/>
      <c r="G157" s="152"/>
      <c r="H157" s="152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</row>
    <row r="158" spans="1:26" ht="18.75">
      <c r="A158" s="143"/>
      <c r="B158" s="140"/>
      <c r="C158" s="141"/>
      <c r="D158" s="142"/>
      <c r="E158" s="142"/>
      <c r="F158" s="143"/>
      <c r="G158" s="150"/>
      <c r="H158" s="150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</row>
    <row r="159" spans="1:26" ht="18.75">
      <c r="A159" s="143"/>
      <c r="B159" s="140"/>
      <c r="C159" s="141"/>
      <c r="D159" s="142"/>
      <c r="E159" s="142"/>
      <c r="F159" s="143"/>
      <c r="G159" s="152"/>
      <c r="H159" s="152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</row>
    <row r="160" spans="1:26" ht="18.75">
      <c r="A160" s="143"/>
      <c r="B160" s="140"/>
      <c r="C160" s="141"/>
      <c r="D160" s="142"/>
      <c r="E160" s="142"/>
      <c r="F160" s="143"/>
      <c r="G160" s="150"/>
      <c r="H160" s="150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</row>
    <row r="161" spans="1:26" ht="18.75">
      <c r="A161" s="143"/>
      <c r="B161" s="140"/>
      <c r="C161" s="141"/>
      <c r="D161" s="142"/>
      <c r="E161" s="142"/>
      <c r="F161" s="143"/>
      <c r="G161" s="152"/>
      <c r="H161" s="152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</row>
    <row r="162" spans="1:26" ht="18.75">
      <c r="A162" s="143"/>
      <c r="B162" s="140"/>
      <c r="C162" s="141"/>
      <c r="D162" s="142"/>
      <c r="E162" s="142"/>
      <c r="F162" s="143"/>
      <c r="G162" s="150"/>
      <c r="H162" s="150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</row>
    <row r="163" spans="1:26" ht="18.75">
      <c r="A163" s="143"/>
      <c r="B163" s="140"/>
      <c r="C163" s="141"/>
      <c r="D163" s="142"/>
      <c r="E163" s="142"/>
      <c r="F163" s="143"/>
      <c r="G163" s="152"/>
      <c r="H163" s="152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</row>
    <row r="164" spans="1:26" ht="18.75">
      <c r="A164" s="143"/>
      <c r="B164" s="140"/>
      <c r="C164" s="141"/>
      <c r="D164" s="142"/>
      <c r="E164" s="142"/>
      <c r="F164" s="143"/>
      <c r="G164" s="150"/>
      <c r="H164" s="150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</row>
    <row r="165" spans="1:26" ht="18.75">
      <c r="A165" s="143"/>
      <c r="B165" s="140"/>
      <c r="C165" s="141"/>
      <c r="D165" s="142"/>
      <c r="E165" s="142"/>
      <c r="F165" s="143"/>
      <c r="G165" s="152"/>
      <c r="H165" s="152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</row>
    <row r="166" spans="1:26" ht="18.75">
      <c r="A166" s="143"/>
      <c r="B166" s="140"/>
      <c r="C166" s="141"/>
      <c r="D166" s="142"/>
      <c r="E166" s="142"/>
      <c r="F166" s="143"/>
      <c r="G166" s="150"/>
      <c r="H166" s="150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</row>
    <row r="167" spans="1:26" ht="18.75">
      <c r="A167" s="143"/>
      <c r="B167" s="140"/>
      <c r="C167" s="141"/>
      <c r="D167" s="142"/>
      <c r="E167" s="142"/>
      <c r="F167" s="143"/>
      <c r="G167" s="152"/>
      <c r="H167" s="152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</row>
    <row r="168" spans="1:26" ht="18.75">
      <c r="A168" s="143"/>
      <c r="B168" s="140"/>
      <c r="C168" s="141"/>
      <c r="D168" s="142"/>
      <c r="E168" s="142"/>
      <c r="F168" s="143"/>
      <c r="G168" s="150"/>
      <c r="H168" s="150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</row>
    <row r="169" spans="1:26" ht="18.75">
      <c r="A169" s="143"/>
      <c r="B169" s="140"/>
      <c r="C169" s="141"/>
      <c r="D169" s="142"/>
      <c r="E169" s="142"/>
      <c r="F169" s="143"/>
      <c r="G169" s="152"/>
      <c r="H169" s="152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</row>
    <row r="170" spans="1:26" ht="18.75">
      <c r="A170" s="143"/>
      <c r="B170" s="140"/>
      <c r="C170" s="141"/>
      <c r="D170" s="142"/>
      <c r="E170" s="142"/>
      <c r="F170" s="143"/>
      <c r="G170" s="150"/>
      <c r="H170" s="150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</row>
    <row r="171" spans="1:26" ht="18.75">
      <c r="A171" s="143"/>
      <c r="B171" s="140"/>
      <c r="C171" s="141"/>
      <c r="D171" s="142"/>
      <c r="E171" s="142"/>
      <c r="F171" s="143"/>
      <c r="G171" s="152"/>
      <c r="H171" s="152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</row>
    <row r="172" spans="1:26" ht="18.75">
      <c r="A172" s="143"/>
      <c r="B172" s="140"/>
      <c r="C172" s="141"/>
      <c r="D172" s="142"/>
      <c r="E172" s="142"/>
      <c r="F172" s="143"/>
      <c r="G172" s="150"/>
      <c r="H172" s="150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</row>
    <row r="173" spans="1:26" ht="18.75">
      <c r="A173" s="143"/>
      <c r="B173" s="140"/>
      <c r="C173" s="141"/>
      <c r="D173" s="142"/>
      <c r="E173" s="142"/>
      <c r="F173" s="143"/>
      <c r="G173" s="152"/>
      <c r="H173" s="152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</row>
    <row r="174" spans="1:26" ht="18.75">
      <c r="A174" s="143"/>
      <c r="B174" s="140"/>
      <c r="C174" s="141"/>
      <c r="D174" s="142"/>
      <c r="E174" s="142"/>
      <c r="F174" s="143"/>
      <c r="G174" s="150"/>
      <c r="H174" s="150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</row>
    <row r="175" spans="1:26" ht="18.75">
      <c r="A175" s="143"/>
      <c r="B175" s="140"/>
      <c r="C175" s="141"/>
      <c r="D175" s="142"/>
      <c r="E175" s="142"/>
      <c r="F175" s="143"/>
      <c r="G175" s="152"/>
      <c r="H175" s="152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</row>
    <row r="176" spans="1:26" ht="18.75">
      <c r="A176" s="143"/>
      <c r="B176" s="140"/>
      <c r="C176" s="141"/>
      <c r="D176" s="142"/>
      <c r="E176" s="142"/>
      <c r="F176" s="143"/>
      <c r="G176" s="150"/>
      <c r="H176" s="150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</row>
    <row r="177" spans="1:26" ht="18.75">
      <c r="A177" s="143"/>
      <c r="B177" s="140"/>
      <c r="C177" s="141"/>
      <c r="D177" s="142"/>
      <c r="E177" s="142"/>
      <c r="F177" s="143"/>
      <c r="G177" s="152"/>
      <c r="H177" s="152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</row>
    <row r="178" spans="1:26" ht="18.75">
      <c r="A178" s="143"/>
      <c r="B178" s="140"/>
      <c r="C178" s="141"/>
      <c r="D178" s="142"/>
      <c r="E178" s="142"/>
      <c r="F178" s="143"/>
      <c r="G178" s="150"/>
      <c r="H178" s="150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</row>
    <row r="179" spans="1:26" ht="18.75">
      <c r="A179" s="143"/>
      <c r="B179" s="140"/>
      <c r="C179" s="141"/>
      <c r="D179" s="142"/>
      <c r="E179" s="142"/>
      <c r="F179" s="143"/>
      <c r="G179" s="152"/>
      <c r="H179" s="152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</row>
    <row r="180" spans="1:26" ht="18.75">
      <c r="A180" s="143"/>
      <c r="B180" s="140"/>
      <c r="C180" s="141"/>
      <c r="D180" s="142"/>
      <c r="E180" s="142"/>
      <c r="F180" s="143"/>
      <c r="G180" s="150"/>
      <c r="H180" s="150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</row>
    <row r="181" spans="1:26" ht="18.75">
      <c r="A181" s="143"/>
      <c r="B181" s="140"/>
      <c r="C181" s="141"/>
      <c r="D181" s="142"/>
      <c r="E181" s="142"/>
      <c r="F181" s="143"/>
      <c r="G181" s="152"/>
      <c r="H181" s="152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</row>
    <row r="182" spans="1:26" ht="18.75">
      <c r="A182" s="143"/>
      <c r="B182" s="140"/>
      <c r="C182" s="141"/>
      <c r="D182" s="142"/>
      <c r="E182" s="142"/>
      <c r="F182" s="143"/>
      <c r="G182" s="150"/>
      <c r="H182" s="150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</row>
    <row r="183" spans="1:26" ht="18.75">
      <c r="A183" s="143"/>
      <c r="B183" s="140"/>
      <c r="C183" s="141"/>
      <c r="D183" s="142"/>
      <c r="E183" s="142"/>
      <c r="F183" s="143"/>
      <c r="G183" s="152"/>
      <c r="H183" s="152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</row>
    <row r="184" spans="1:26" ht="18.75">
      <c r="A184" s="143"/>
      <c r="B184" s="140"/>
      <c r="C184" s="141"/>
      <c r="D184" s="142"/>
      <c r="E184" s="142"/>
      <c r="F184" s="143"/>
      <c r="G184" s="150"/>
      <c r="H184" s="150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</row>
    <row r="185" spans="1:26" ht="18.75">
      <c r="A185" s="143"/>
      <c r="B185" s="140"/>
      <c r="C185" s="141"/>
      <c r="D185" s="142"/>
      <c r="E185" s="142"/>
      <c r="F185" s="143"/>
      <c r="G185" s="152"/>
      <c r="H185" s="152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</row>
    <row r="186" spans="1:26" ht="18.75">
      <c r="A186" s="143"/>
      <c r="B186" s="140"/>
      <c r="C186" s="141"/>
      <c r="D186" s="142"/>
      <c r="E186" s="142"/>
      <c r="F186" s="143"/>
      <c r="G186" s="150"/>
      <c r="H186" s="150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</row>
    <row r="187" spans="1:26" ht="18.75">
      <c r="A187" s="143"/>
      <c r="B187" s="140"/>
      <c r="C187" s="141"/>
      <c r="D187" s="142"/>
      <c r="E187" s="142"/>
      <c r="F187" s="143"/>
      <c r="G187" s="152"/>
      <c r="H187" s="152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</row>
    <row r="188" spans="1:26" ht="18.75">
      <c r="A188" s="143"/>
      <c r="B188" s="140"/>
      <c r="C188" s="141"/>
      <c r="D188" s="142"/>
      <c r="E188" s="142"/>
      <c r="F188" s="143"/>
      <c r="G188" s="150"/>
      <c r="H188" s="150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</row>
    <row r="189" spans="1:26" ht="18.75">
      <c r="A189" s="143"/>
      <c r="B189" s="140"/>
      <c r="C189" s="141"/>
      <c r="D189" s="142"/>
      <c r="E189" s="142"/>
      <c r="F189" s="143"/>
      <c r="G189" s="152"/>
      <c r="H189" s="152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</row>
    <row r="190" spans="1:26" ht="18.75">
      <c r="A190" s="143"/>
      <c r="B190" s="140"/>
      <c r="C190" s="141"/>
      <c r="D190" s="142"/>
      <c r="E190" s="142"/>
      <c r="F190" s="143"/>
      <c r="G190" s="150"/>
      <c r="H190" s="150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</row>
    <row r="191" spans="1:26" ht="18.75">
      <c r="A191" s="143"/>
      <c r="B191" s="140"/>
      <c r="C191" s="141"/>
      <c r="D191" s="142"/>
      <c r="E191" s="142"/>
      <c r="F191" s="143"/>
      <c r="G191" s="152"/>
      <c r="H191" s="152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</row>
    <row r="192" spans="1:26" ht="18.75">
      <c r="A192" s="143"/>
      <c r="B192" s="140"/>
      <c r="C192" s="141"/>
      <c r="D192" s="142"/>
      <c r="E192" s="142"/>
      <c r="F192" s="143"/>
      <c r="G192" s="150"/>
      <c r="H192" s="150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</row>
    <row r="193" spans="1:26" ht="18.75">
      <c r="A193" s="143"/>
      <c r="B193" s="140"/>
      <c r="C193" s="141"/>
      <c r="D193" s="142"/>
      <c r="E193" s="142"/>
      <c r="F193" s="143"/>
      <c r="G193" s="152"/>
      <c r="H193" s="152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</row>
    <row r="194" spans="1:26" ht="18.75">
      <c r="A194" s="143"/>
      <c r="B194" s="140"/>
      <c r="C194" s="141"/>
      <c r="D194" s="142"/>
      <c r="E194" s="142"/>
      <c r="F194" s="143"/>
      <c r="G194" s="150"/>
      <c r="H194" s="150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</row>
    <row r="195" spans="1:26" ht="18.75">
      <c r="A195" s="143"/>
      <c r="B195" s="140"/>
      <c r="C195" s="141"/>
      <c r="D195" s="142"/>
      <c r="E195" s="142"/>
      <c r="F195" s="143"/>
      <c r="G195" s="152"/>
      <c r="H195" s="152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</row>
    <row r="196" spans="1:26" ht="18.75">
      <c r="A196" s="143"/>
      <c r="B196" s="140"/>
      <c r="C196" s="141"/>
      <c r="D196" s="142"/>
      <c r="E196" s="142"/>
      <c r="F196" s="143"/>
      <c r="G196" s="150"/>
      <c r="H196" s="150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</row>
    <row r="197" spans="1:26" ht="18.75">
      <c r="A197" s="143"/>
      <c r="B197" s="140"/>
      <c r="C197" s="141"/>
      <c r="D197" s="142"/>
      <c r="E197" s="142"/>
      <c r="F197" s="143"/>
      <c r="G197" s="152"/>
      <c r="H197" s="152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</row>
    <row r="198" spans="1:26" ht="18.75">
      <c r="A198" s="143"/>
      <c r="B198" s="140"/>
      <c r="C198" s="141"/>
      <c r="D198" s="142"/>
      <c r="E198" s="142"/>
      <c r="F198" s="143"/>
      <c r="G198" s="150"/>
      <c r="H198" s="150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</row>
    <row r="199" spans="1:26" ht="18.75">
      <c r="A199" s="143"/>
      <c r="B199" s="140"/>
      <c r="C199" s="141"/>
      <c r="D199" s="142"/>
      <c r="E199" s="142"/>
      <c r="F199" s="143"/>
      <c r="G199" s="152"/>
      <c r="H199" s="152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</row>
    <row r="200" spans="1:26" ht="18.75">
      <c r="A200" s="143"/>
      <c r="B200" s="140"/>
      <c r="C200" s="141"/>
      <c r="D200" s="142"/>
      <c r="E200" s="142"/>
      <c r="F200" s="143"/>
      <c r="G200" s="150"/>
      <c r="H200" s="150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</row>
    <row r="201" spans="1:26" ht="18.75">
      <c r="A201" s="143"/>
      <c r="B201" s="140"/>
      <c r="C201" s="141"/>
      <c r="D201" s="142"/>
      <c r="E201" s="142"/>
      <c r="F201" s="143"/>
      <c r="G201" s="152"/>
      <c r="H201" s="152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</row>
    <row r="202" spans="1:26" ht="18.75">
      <c r="A202" s="143"/>
      <c r="B202" s="140"/>
      <c r="C202" s="141"/>
      <c r="D202" s="142"/>
      <c r="E202" s="142"/>
      <c r="F202" s="143"/>
      <c r="G202" s="150"/>
      <c r="H202" s="150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</row>
    <row r="203" spans="1:26" ht="18.75">
      <c r="A203" s="143"/>
      <c r="B203" s="140"/>
      <c r="C203" s="141"/>
      <c r="D203" s="142"/>
      <c r="E203" s="142"/>
      <c r="F203" s="143"/>
      <c r="G203" s="152"/>
      <c r="H203" s="152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</row>
    <row r="204" spans="1:26" ht="18.75">
      <c r="A204" s="143"/>
      <c r="B204" s="140"/>
      <c r="C204" s="141"/>
      <c r="D204" s="142"/>
      <c r="E204" s="142"/>
      <c r="F204" s="143"/>
      <c r="G204" s="150"/>
      <c r="H204" s="150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</row>
    <row r="205" spans="1:26" ht="18.75">
      <c r="A205" s="143"/>
      <c r="B205" s="140"/>
      <c r="C205" s="141"/>
      <c r="D205" s="142"/>
      <c r="E205" s="142"/>
      <c r="F205" s="143"/>
      <c r="G205" s="152"/>
      <c r="H205" s="152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</row>
    <row r="206" spans="1:26" ht="18.75">
      <c r="A206" s="143"/>
      <c r="B206" s="140"/>
      <c r="C206" s="141"/>
      <c r="D206" s="142"/>
      <c r="E206" s="142"/>
      <c r="F206" s="143"/>
      <c r="G206" s="150"/>
      <c r="H206" s="150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</row>
    <row r="207" spans="1:26" ht="18.75">
      <c r="A207" s="143"/>
      <c r="B207" s="140"/>
      <c r="C207" s="141"/>
      <c r="D207" s="142"/>
      <c r="E207" s="142"/>
      <c r="F207" s="143"/>
      <c r="G207" s="152"/>
      <c r="H207" s="152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</row>
    <row r="208" spans="1:26" ht="18.75">
      <c r="A208" s="143"/>
      <c r="B208" s="140"/>
      <c r="C208" s="141"/>
      <c r="D208" s="142"/>
      <c r="E208" s="142"/>
      <c r="F208" s="143"/>
      <c r="G208" s="150"/>
      <c r="H208" s="150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</row>
    <row r="209" spans="1:26" ht="18.75">
      <c r="A209" s="143"/>
      <c r="B209" s="140"/>
      <c r="C209" s="141"/>
      <c r="D209" s="142"/>
      <c r="E209" s="142"/>
      <c r="F209" s="143"/>
      <c r="G209" s="152"/>
      <c r="H209" s="152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</row>
    <row r="210" spans="1:26" ht="18.75">
      <c r="A210" s="143"/>
      <c r="B210" s="140"/>
      <c r="C210" s="141"/>
      <c r="D210" s="142"/>
      <c r="E210" s="142"/>
      <c r="F210" s="143"/>
      <c r="G210" s="150"/>
      <c r="H210" s="150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</row>
    <row r="211" spans="1:26" ht="18.75">
      <c r="A211" s="143"/>
      <c r="B211" s="140"/>
      <c r="C211" s="141"/>
      <c r="D211" s="142"/>
      <c r="E211" s="142"/>
      <c r="F211" s="143"/>
      <c r="G211" s="152"/>
      <c r="H211" s="152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</row>
    <row r="212" spans="1:26" ht="18.75">
      <c r="A212" s="143"/>
      <c r="B212" s="140"/>
      <c r="C212" s="141"/>
      <c r="D212" s="142"/>
      <c r="E212" s="142"/>
      <c r="F212" s="143"/>
      <c r="G212" s="150"/>
      <c r="H212" s="150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</row>
    <row r="213" spans="1:26" ht="18.75">
      <c r="A213" s="143"/>
      <c r="B213" s="140"/>
      <c r="C213" s="141"/>
      <c r="D213" s="142"/>
      <c r="E213" s="142"/>
      <c r="F213" s="143"/>
      <c r="G213" s="152"/>
      <c r="H213" s="152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</row>
    <row r="214" spans="1:26" ht="18.75">
      <c r="A214" s="143"/>
      <c r="B214" s="140"/>
      <c r="C214" s="141"/>
      <c r="D214" s="142"/>
      <c r="E214" s="142"/>
      <c r="F214" s="143"/>
      <c r="G214" s="150"/>
      <c r="H214" s="150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</row>
    <row r="215" spans="1:26" ht="18.75">
      <c r="A215" s="143"/>
      <c r="B215" s="140"/>
      <c r="C215" s="141"/>
      <c r="D215" s="142"/>
      <c r="E215" s="142"/>
      <c r="F215" s="143"/>
      <c r="G215" s="152"/>
      <c r="H215" s="152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</row>
    <row r="216" spans="1:26" ht="18.75">
      <c r="A216" s="143"/>
      <c r="B216" s="140"/>
      <c r="C216" s="141"/>
      <c r="D216" s="142"/>
      <c r="E216" s="142"/>
      <c r="F216" s="143"/>
      <c r="G216" s="150"/>
      <c r="H216" s="150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</row>
    <row r="217" spans="1:26" ht="18.75">
      <c r="A217" s="143"/>
      <c r="B217" s="140"/>
      <c r="C217" s="141"/>
      <c r="D217" s="142"/>
      <c r="E217" s="142"/>
      <c r="F217" s="143"/>
      <c r="G217" s="152"/>
      <c r="H217" s="152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</row>
    <row r="218" spans="1:26" ht="18.75">
      <c r="A218" s="143"/>
      <c r="B218" s="140"/>
      <c r="C218" s="141"/>
      <c r="D218" s="142"/>
      <c r="E218" s="142"/>
      <c r="F218" s="143"/>
      <c r="G218" s="150"/>
      <c r="H218" s="150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</row>
    <row r="219" spans="1:26" ht="18.75">
      <c r="A219" s="143"/>
      <c r="B219" s="140"/>
      <c r="C219" s="141"/>
      <c r="D219" s="142"/>
      <c r="E219" s="142"/>
      <c r="F219" s="143"/>
      <c r="G219" s="152"/>
      <c r="H219" s="152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</row>
    <row r="220" spans="1:26" ht="18.75">
      <c r="A220" s="143"/>
      <c r="B220" s="140"/>
      <c r="C220" s="141"/>
      <c r="D220" s="142"/>
      <c r="E220" s="142"/>
      <c r="F220" s="143"/>
      <c r="G220" s="150"/>
      <c r="H220" s="150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</row>
    <row r="221" spans="1:26" ht="18.75">
      <c r="A221" s="143"/>
      <c r="B221" s="140"/>
      <c r="C221" s="141"/>
      <c r="D221" s="142"/>
      <c r="E221" s="142"/>
      <c r="F221" s="143"/>
      <c r="G221" s="152"/>
      <c r="H221" s="152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</row>
    <row r="222" spans="1:26" ht="18.75">
      <c r="A222" s="143"/>
      <c r="B222" s="140"/>
      <c r="C222" s="141"/>
      <c r="D222" s="142"/>
      <c r="E222" s="142"/>
      <c r="F222" s="143"/>
      <c r="G222" s="150"/>
      <c r="H222" s="150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</row>
    <row r="223" spans="1:26" ht="18.75">
      <c r="A223" s="143"/>
      <c r="B223" s="140"/>
      <c r="C223" s="141"/>
      <c r="D223" s="142"/>
      <c r="E223" s="142"/>
      <c r="F223" s="143"/>
      <c r="G223" s="152"/>
      <c r="H223" s="152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</row>
    <row r="224" spans="1:26" ht="18.75">
      <c r="A224" s="143"/>
      <c r="B224" s="140"/>
      <c r="C224" s="141"/>
      <c r="D224" s="142"/>
      <c r="E224" s="142"/>
      <c r="F224" s="143"/>
      <c r="G224" s="150"/>
      <c r="H224" s="150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</row>
    <row r="225" spans="1:26" ht="18.75">
      <c r="A225" s="143"/>
      <c r="B225" s="140"/>
      <c r="C225" s="141"/>
      <c r="D225" s="142"/>
      <c r="E225" s="142"/>
      <c r="F225" s="143"/>
      <c r="G225" s="152"/>
      <c r="H225" s="152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</row>
    <row r="226" spans="1:26" ht="18.75">
      <c r="A226" s="143"/>
      <c r="B226" s="140"/>
      <c r="C226" s="141"/>
      <c r="D226" s="142"/>
      <c r="E226" s="142"/>
      <c r="F226" s="143"/>
      <c r="G226" s="150"/>
      <c r="H226" s="150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</row>
    <row r="227" spans="1:26" ht="18.75">
      <c r="A227" s="143"/>
      <c r="B227" s="140"/>
      <c r="C227" s="141"/>
      <c r="D227" s="142"/>
      <c r="E227" s="142"/>
      <c r="F227" s="143"/>
      <c r="G227" s="152"/>
      <c r="H227" s="152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</row>
    <row r="228" spans="1:26" ht="18.75">
      <c r="A228" s="143"/>
      <c r="B228" s="140"/>
      <c r="C228" s="141"/>
      <c r="D228" s="142"/>
      <c r="E228" s="142"/>
      <c r="F228" s="143"/>
      <c r="G228" s="150"/>
      <c r="H228" s="150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</row>
    <row r="229" spans="1:26" ht="18.75">
      <c r="A229" s="143"/>
      <c r="B229" s="140"/>
      <c r="C229" s="141"/>
      <c r="D229" s="142"/>
      <c r="E229" s="142"/>
      <c r="F229" s="143"/>
      <c r="G229" s="152"/>
      <c r="H229" s="152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</row>
    <row r="230" spans="1:26" ht="18.75">
      <c r="A230" s="143"/>
      <c r="B230" s="140"/>
      <c r="C230" s="141"/>
      <c r="D230" s="142"/>
      <c r="E230" s="142"/>
      <c r="F230" s="143"/>
      <c r="G230" s="150"/>
      <c r="H230" s="150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</row>
    <row r="231" spans="1:26" ht="18.75">
      <c r="A231" s="143"/>
      <c r="B231" s="140"/>
      <c r="C231" s="141"/>
      <c r="D231" s="142"/>
      <c r="E231" s="142"/>
      <c r="F231" s="143"/>
      <c r="G231" s="152"/>
      <c r="H231" s="152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</row>
    <row r="232" spans="1:26" ht="18.75">
      <c r="A232" s="143"/>
      <c r="B232" s="140"/>
      <c r="C232" s="141"/>
      <c r="D232" s="142"/>
      <c r="E232" s="142"/>
      <c r="F232" s="143"/>
      <c r="G232" s="150"/>
      <c r="H232" s="150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</row>
    <row r="233" spans="1:26" ht="18.75">
      <c r="A233" s="143"/>
      <c r="B233" s="140"/>
      <c r="C233" s="141"/>
      <c r="D233" s="142"/>
      <c r="E233" s="142"/>
      <c r="F233" s="143"/>
      <c r="G233" s="152"/>
      <c r="H233" s="152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</row>
    <row r="234" spans="1:26" ht="18.75">
      <c r="A234" s="143"/>
      <c r="B234" s="140"/>
      <c r="C234" s="141"/>
      <c r="D234" s="142"/>
      <c r="E234" s="142"/>
      <c r="F234" s="143"/>
      <c r="G234" s="150"/>
      <c r="H234" s="150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</row>
    <row r="235" spans="1:26" ht="18.75">
      <c r="A235" s="143"/>
      <c r="B235" s="140"/>
      <c r="C235" s="141"/>
      <c r="D235" s="142"/>
      <c r="E235" s="142"/>
      <c r="F235" s="143"/>
      <c r="G235" s="152"/>
      <c r="H235" s="152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</row>
    <row r="236" spans="1:26" ht="18.75">
      <c r="A236" s="143"/>
      <c r="B236" s="140"/>
      <c r="C236" s="141"/>
      <c r="D236" s="142"/>
      <c r="E236" s="142"/>
      <c r="F236" s="143"/>
      <c r="G236" s="150"/>
      <c r="H236" s="150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</row>
    <row r="237" spans="1:26" ht="18.75">
      <c r="A237" s="143"/>
      <c r="B237" s="140"/>
      <c r="C237" s="141"/>
      <c r="D237" s="142"/>
      <c r="E237" s="142"/>
      <c r="F237" s="143"/>
      <c r="G237" s="152"/>
      <c r="H237" s="152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</row>
    <row r="238" spans="1:26" ht="18.75">
      <c r="A238" s="143"/>
      <c r="B238" s="140"/>
      <c r="C238" s="141"/>
      <c r="D238" s="142"/>
      <c r="E238" s="142"/>
      <c r="F238" s="143"/>
      <c r="G238" s="150"/>
      <c r="H238" s="150"/>
      <c r="I238" s="143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143"/>
      <c r="U238" s="143"/>
      <c r="V238" s="143"/>
      <c r="W238" s="143"/>
      <c r="X238" s="143"/>
      <c r="Y238" s="143"/>
      <c r="Z238" s="143"/>
    </row>
    <row r="239" spans="1:26" ht="18.75">
      <c r="A239" s="143"/>
      <c r="B239" s="140"/>
      <c r="C239" s="141"/>
      <c r="D239" s="142"/>
      <c r="E239" s="142"/>
      <c r="F239" s="143"/>
      <c r="G239" s="152"/>
      <c r="H239" s="152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143"/>
      <c r="U239" s="143"/>
      <c r="V239" s="143"/>
      <c r="W239" s="143"/>
      <c r="X239" s="143"/>
      <c r="Y239" s="143"/>
      <c r="Z239" s="143"/>
    </row>
    <row r="240" spans="1:26" ht="18.75">
      <c r="A240" s="143"/>
      <c r="B240" s="140"/>
      <c r="C240" s="141"/>
      <c r="D240" s="142"/>
      <c r="E240" s="142"/>
      <c r="F240" s="143"/>
      <c r="G240" s="150"/>
      <c r="H240" s="150"/>
      <c r="I240" s="143"/>
      <c r="J240" s="143"/>
      <c r="K240" s="143"/>
      <c r="L240" s="143"/>
      <c r="M240" s="143"/>
      <c r="N240" s="143"/>
      <c r="O240" s="143"/>
      <c r="P240" s="143"/>
      <c r="Q240" s="143"/>
      <c r="R240" s="143"/>
      <c r="S240" s="143"/>
      <c r="T240" s="143"/>
      <c r="U240" s="143"/>
      <c r="V240" s="143"/>
      <c r="W240" s="143"/>
      <c r="X240" s="143"/>
      <c r="Y240" s="143"/>
      <c r="Z240" s="143"/>
    </row>
    <row r="241" spans="1:26" ht="18.75">
      <c r="A241" s="143"/>
      <c r="B241" s="140"/>
      <c r="C241" s="141"/>
      <c r="D241" s="142"/>
      <c r="E241" s="142"/>
      <c r="F241" s="143"/>
      <c r="G241" s="152"/>
      <c r="H241" s="152"/>
      <c r="I241" s="143"/>
      <c r="J241" s="143"/>
      <c r="K241" s="143"/>
      <c r="L241" s="143"/>
      <c r="M241" s="143"/>
      <c r="N241" s="143"/>
      <c r="O241" s="143"/>
      <c r="P241" s="143"/>
      <c r="Q241" s="143"/>
      <c r="R241" s="143"/>
      <c r="S241" s="143"/>
      <c r="T241" s="143"/>
      <c r="U241" s="143"/>
      <c r="V241" s="143"/>
      <c r="W241" s="143"/>
      <c r="X241" s="143"/>
      <c r="Y241" s="143"/>
      <c r="Z241" s="143"/>
    </row>
    <row r="242" spans="1:26" ht="18.75">
      <c r="A242" s="143"/>
      <c r="B242" s="140"/>
      <c r="C242" s="141"/>
      <c r="D242" s="142"/>
      <c r="E242" s="142"/>
      <c r="F242" s="143"/>
      <c r="G242" s="150"/>
      <c r="H242" s="150"/>
      <c r="I242" s="143"/>
      <c r="J242" s="143"/>
      <c r="K242" s="143"/>
      <c r="L242" s="143"/>
      <c r="M242" s="143"/>
      <c r="N242" s="143"/>
      <c r="O242" s="143"/>
      <c r="P242" s="143"/>
      <c r="Q242" s="143"/>
      <c r="R242" s="143"/>
      <c r="S242" s="143"/>
      <c r="T242" s="143"/>
      <c r="U242" s="143"/>
      <c r="V242" s="143"/>
      <c r="W242" s="143"/>
      <c r="X242" s="143"/>
      <c r="Y242" s="143"/>
      <c r="Z242" s="143"/>
    </row>
    <row r="243" spans="1:26" ht="18.75">
      <c r="A243" s="143"/>
      <c r="B243" s="140"/>
      <c r="C243" s="141"/>
      <c r="D243" s="142"/>
      <c r="E243" s="142"/>
      <c r="F243" s="143"/>
      <c r="G243" s="152"/>
      <c r="H243" s="152"/>
      <c r="I243" s="143"/>
      <c r="J243" s="143"/>
      <c r="K243" s="143"/>
      <c r="L243" s="143"/>
      <c r="M243" s="143"/>
      <c r="N243" s="143"/>
      <c r="O243" s="143"/>
      <c r="P243" s="143"/>
      <c r="Q243" s="143"/>
      <c r="R243" s="143"/>
      <c r="S243" s="143"/>
      <c r="T243" s="143"/>
      <c r="U243" s="143"/>
      <c r="V243" s="143"/>
      <c r="W243" s="143"/>
      <c r="X243" s="143"/>
      <c r="Y243" s="143"/>
      <c r="Z243" s="143"/>
    </row>
    <row r="244" spans="1:26" ht="18.75">
      <c r="A244" s="143"/>
      <c r="B244" s="140"/>
      <c r="C244" s="141"/>
      <c r="D244" s="142"/>
      <c r="E244" s="142"/>
      <c r="F244" s="143"/>
      <c r="G244" s="150"/>
      <c r="H244" s="150"/>
      <c r="I244" s="143"/>
      <c r="J244" s="143"/>
      <c r="K244" s="143"/>
      <c r="L244" s="143"/>
      <c r="M244" s="143"/>
      <c r="N244" s="143"/>
      <c r="O244" s="143"/>
      <c r="P244" s="143"/>
      <c r="Q244" s="143"/>
      <c r="R244" s="143"/>
      <c r="S244" s="143"/>
      <c r="T244" s="143"/>
      <c r="U244" s="143"/>
      <c r="V244" s="143"/>
      <c r="W244" s="143"/>
      <c r="X244" s="143"/>
      <c r="Y244" s="143"/>
      <c r="Z244" s="143"/>
    </row>
    <row r="245" spans="1:26" ht="18.75">
      <c r="A245" s="143"/>
      <c r="B245" s="140"/>
      <c r="C245" s="141"/>
      <c r="D245" s="142"/>
      <c r="E245" s="142"/>
      <c r="F245" s="143"/>
      <c r="G245" s="152"/>
      <c r="H245" s="152"/>
      <c r="I245" s="143"/>
      <c r="J245" s="143"/>
      <c r="K245" s="143"/>
      <c r="L245" s="143"/>
      <c r="M245" s="143"/>
      <c r="N245" s="143"/>
      <c r="O245" s="143"/>
      <c r="P245" s="143"/>
      <c r="Q245" s="143"/>
      <c r="R245" s="143"/>
      <c r="S245" s="143"/>
      <c r="T245" s="143"/>
      <c r="U245" s="143"/>
      <c r="V245" s="143"/>
      <c r="W245" s="143"/>
      <c r="X245" s="143"/>
      <c r="Y245" s="143"/>
      <c r="Z245" s="143"/>
    </row>
    <row r="246" spans="1:26" ht="18.75">
      <c r="A246" s="143"/>
      <c r="B246" s="140"/>
      <c r="C246" s="141"/>
      <c r="D246" s="142"/>
      <c r="E246" s="142"/>
      <c r="F246" s="143"/>
      <c r="G246" s="150"/>
      <c r="H246" s="150"/>
      <c r="I246" s="143"/>
      <c r="J246" s="143"/>
      <c r="K246" s="143"/>
      <c r="L246" s="143"/>
      <c r="M246" s="143"/>
      <c r="N246" s="143"/>
      <c r="O246" s="143"/>
      <c r="P246" s="143"/>
      <c r="Q246" s="143"/>
      <c r="R246" s="143"/>
      <c r="S246" s="143"/>
      <c r="T246" s="143"/>
      <c r="U246" s="143"/>
      <c r="V246" s="143"/>
      <c r="W246" s="143"/>
      <c r="X246" s="143"/>
      <c r="Y246" s="143"/>
      <c r="Z246" s="143"/>
    </row>
    <row r="247" spans="1:26" ht="18.75">
      <c r="A247" s="143"/>
      <c r="B247" s="140"/>
      <c r="C247" s="141"/>
      <c r="D247" s="142"/>
      <c r="E247" s="142"/>
      <c r="F247" s="143"/>
      <c r="G247" s="152"/>
      <c r="H247" s="152"/>
      <c r="I247" s="143"/>
      <c r="J247" s="143"/>
      <c r="K247" s="143"/>
      <c r="L247" s="143"/>
      <c r="M247" s="143"/>
      <c r="N247" s="143"/>
      <c r="O247" s="143"/>
      <c r="P247" s="143"/>
      <c r="Q247" s="143"/>
      <c r="R247" s="143"/>
      <c r="S247" s="143"/>
      <c r="T247" s="143"/>
      <c r="U247" s="143"/>
      <c r="V247" s="143"/>
      <c r="W247" s="143"/>
      <c r="X247" s="143"/>
      <c r="Y247" s="143"/>
      <c r="Z247" s="143"/>
    </row>
    <row r="248" spans="1:26" ht="18.75">
      <c r="A248" s="143"/>
      <c r="B248" s="140"/>
      <c r="C248" s="141"/>
      <c r="D248" s="142"/>
      <c r="E248" s="142"/>
      <c r="F248" s="143"/>
      <c r="G248" s="150"/>
      <c r="H248" s="150"/>
      <c r="I248" s="143"/>
      <c r="J248" s="143"/>
      <c r="K248" s="143"/>
      <c r="L248" s="143"/>
      <c r="M248" s="143"/>
      <c r="N248" s="143"/>
      <c r="O248" s="143"/>
      <c r="P248" s="143"/>
      <c r="Q248" s="143"/>
      <c r="R248" s="143"/>
      <c r="S248" s="143"/>
      <c r="T248" s="143"/>
      <c r="U248" s="143"/>
      <c r="V248" s="143"/>
      <c r="W248" s="143"/>
      <c r="X248" s="143"/>
      <c r="Y248" s="143"/>
      <c r="Z248" s="143"/>
    </row>
    <row r="249" spans="1:26" ht="18.75">
      <c r="A249" s="143"/>
      <c r="B249" s="140"/>
      <c r="C249" s="141"/>
      <c r="D249" s="142"/>
      <c r="E249" s="142"/>
      <c r="F249" s="143"/>
      <c r="G249" s="152"/>
      <c r="H249" s="152"/>
      <c r="I249" s="143"/>
      <c r="J249" s="143"/>
      <c r="K249" s="143"/>
      <c r="L249" s="143"/>
      <c r="M249" s="143"/>
      <c r="N249" s="143"/>
      <c r="O249" s="143"/>
      <c r="P249" s="143"/>
      <c r="Q249" s="143"/>
      <c r="R249" s="143"/>
      <c r="S249" s="143"/>
      <c r="T249" s="143"/>
      <c r="U249" s="143"/>
      <c r="V249" s="143"/>
      <c r="W249" s="143"/>
      <c r="X249" s="143"/>
      <c r="Y249" s="143"/>
      <c r="Z249" s="143"/>
    </row>
    <row r="250" spans="1:26" ht="18.75">
      <c r="A250" s="143"/>
      <c r="B250" s="140"/>
      <c r="C250" s="141"/>
      <c r="D250" s="142"/>
      <c r="E250" s="142"/>
      <c r="F250" s="143"/>
      <c r="G250" s="150"/>
      <c r="H250" s="150"/>
      <c r="I250" s="143"/>
      <c r="J250" s="143"/>
      <c r="K250" s="143"/>
      <c r="L250" s="143"/>
      <c r="M250" s="143"/>
      <c r="N250" s="143"/>
      <c r="O250" s="143"/>
      <c r="P250" s="143"/>
      <c r="Q250" s="143"/>
      <c r="R250" s="143"/>
      <c r="S250" s="143"/>
      <c r="T250" s="143"/>
      <c r="U250" s="143"/>
      <c r="V250" s="143"/>
      <c r="W250" s="143"/>
      <c r="X250" s="143"/>
      <c r="Y250" s="143"/>
      <c r="Z250" s="143"/>
    </row>
    <row r="251" spans="1:26" ht="18.75">
      <c r="A251" s="143"/>
      <c r="B251" s="140"/>
      <c r="C251" s="141"/>
      <c r="D251" s="142"/>
      <c r="E251" s="142"/>
      <c r="F251" s="143"/>
      <c r="G251" s="152"/>
      <c r="H251" s="152"/>
      <c r="I251" s="143"/>
      <c r="J251" s="143"/>
      <c r="K251" s="143"/>
      <c r="L251" s="143"/>
      <c r="M251" s="143"/>
      <c r="N251" s="143"/>
      <c r="O251" s="143"/>
      <c r="P251" s="143"/>
      <c r="Q251" s="143"/>
      <c r="R251" s="143"/>
      <c r="S251" s="143"/>
      <c r="T251" s="143"/>
      <c r="U251" s="143"/>
      <c r="V251" s="143"/>
      <c r="W251" s="143"/>
      <c r="X251" s="143"/>
      <c r="Y251" s="143"/>
      <c r="Z251" s="143"/>
    </row>
    <row r="252" spans="1:26" ht="18.75">
      <c r="A252" s="143"/>
      <c r="B252" s="140"/>
      <c r="C252" s="141"/>
      <c r="D252" s="142"/>
      <c r="E252" s="142"/>
      <c r="F252" s="143"/>
      <c r="G252" s="150"/>
      <c r="H252" s="150"/>
      <c r="I252" s="143"/>
      <c r="J252" s="143"/>
      <c r="K252" s="143"/>
      <c r="L252" s="143"/>
      <c r="M252" s="143"/>
      <c r="N252" s="143"/>
      <c r="O252" s="143"/>
      <c r="P252" s="143"/>
      <c r="Q252" s="143"/>
      <c r="R252" s="143"/>
      <c r="S252" s="143"/>
      <c r="T252" s="143"/>
      <c r="U252" s="143"/>
      <c r="V252" s="143"/>
      <c r="W252" s="143"/>
      <c r="X252" s="143"/>
      <c r="Y252" s="143"/>
      <c r="Z252" s="143"/>
    </row>
    <row r="253" spans="1:26" ht="18.75">
      <c r="A253" s="143"/>
      <c r="B253" s="140"/>
      <c r="C253" s="141"/>
      <c r="D253" s="142"/>
      <c r="E253" s="142"/>
      <c r="F253" s="143"/>
      <c r="G253" s="152"/>
      <c r="H253" s="152"/>
      <c r="I253" s="143"/>
      <c r="J253" s="143"/>
      <c r="K253" s="143"/>
      <c r="L253" s="143"/>
      <c r="M253" s="143"/>
      <c r="N253" s="143"/>
      <c r="O253" s="143"/>
      <c r="P253" s="143"/>
      <c r="Q253" s="143"/>
      <c r="R253" s="143"/>
      <c r="S253" s="143"/>
      <c r="T253" s="143"/>
      <c r="U253" s="143"/>
      <c r="V253" s="143"/>
      <c r="W253" s="143"/>
      <c r="X253" s="143"/>
      <c r="Y253" s="143"/>
      <c r="Z253" s="143"/>
    </row>
    <row r="254" spans="1:26" ht="18.75">
      <c r="A254" s="143"/>
      <c r="B254" s="140"/>
      <c r="C254" s="141"/>
      <c r="D254" s="142"/>
      <c r="E254" s="142"/>
      <c r="F254" s="143"/>
      <c r="G254" s="150"/>
      <c r="H254" s="150"/>
      <c r="I254" s="143"/>
      <c r="J254" s="143"/>
      <c r="K254" s="143"/>
      <c r="L254" s="143"/>
      <c r="M254" s="143"/>
      <c r="N254" s="143"/>
      <c r="O254" s="143"/>
      <c r="P254" s="143"/>
      <c r="Q254" s="143"/>
      <c r="R254" s="143"/>
      <c r="S254" s="143"/>
      <c r="T254" s="143"/>
      <c r="U254" s="143"/>
      <c r="V254" s="143"/>
      <c r="W254" s="143"/>
      <c r="X254" s="143"/>
      <c r="Y254" s="143"/>
      <c r="Z254" s="143"/>
    </row>
    <row r="255" spans="1:26" ht="18.75">
      <c r="A255" s="143"/>
      <c r="B255" s="140"/>
      <c r="C255" s="141"/>
      <c r="D255" s="142"/>
      <c r="E255" s="142"/>
      <c r="F255" s="143"/>
      <c r="G255" s="152"/>
      <c r="H255" s="152"/>
      <c r="I255" s="143"/>
      <c r="J255" s="143"/>
      <c r="K255" s="143"/>
      <c r="L255" s="143"/>
      <c r="M255" s="143"/>
      <c r="N255" s="143"/>
      <c r="O255" s="143"/>
      <c r="P255" s="143"/>
      <c r="Q255" s="143"/>
      <c r="R255" s="143"/>
      <c r="S255" s="143"/>
      <c r="T255" s="143"/>
      <c r="U255" s="143"/>
      <c r="V255" s="143"/>
      <c r="W255" s="143"/>
      <c r="X255" s="143"/>
      <c r="Y255" s="143"/>
      <c r="Z255" s="143"/>
    </row>
    <row r="256" spans="1:26" ht="18.75">
      <c r="A256" s="143"/>
      <c r="B256" s="140"/>
      <c r="C256" s="141"/>
      <c r="D256" s="142"/>
      <c r="E256" s="142"/>
      <c r="F256" s="143"/>
      <c r="G256" s="150"/>
      <c r="H256" s="150"/>
      <c r="I256" s="143"/>
      <c r="J256" s="143"/>
      <c r="K256" s="143"/>
      <c r="L256" s="143"/>
      <c r="M256" s="143"/>
      <c r="N256" s="143"/>
      <c r="O256" s="143"/>
      <c r="P256" s="143"/>
      <c r="Q256" s="143"/>
      <c r="R256" s="143"/>
      <c r="S256" s="143"/>
      <c r="T256" s="143"/>
      <c r="U256" s="143"/>
      <c r="V256" s="143"/>
      <c r="W256" s="143"/>
      <c r="X256" s="143"/>
      <c r="Y256" s="143"/>
      <c r="Z256" s="143"/>
    </row>
    <row r="257" spans="1:26" ht="18.75">
      <c r="A257" s="143"/>
      <c r="B257" s="140"/>
      <c r="C257" s="141"/>
      <c r="D257" s="142"/>
      <c r="E257" s="142"/>
      <c r="F257" s="143"/>
      <c r="G257" s="152"/>
      <c r="H257" s="152"/>
      <c r="I257" s="143"/>
      <c r="J257" s="143"/>
      <c r="K257" s="143"/>
      <c r="L257" s="143"/>
      <c r="M257" s="143"/>
      <c r="N257" s="143"/>
      <c r="O257" s="143"/>
      <c r="P257" s="143"/>
      <c r="Q257" s="143"/>
      <c r="R257" s="143"/>
      <c r="S257" s="143"/>
      <c r="T257" s="143"/>
      <c r="U257" s="143"/>
      <c r="V257" s="143"/>
      <c r="W257" s="143"/>
      <c r="X257" s="143"/>
      <c r="Y257" s="143"/>
      <c r="Z257" s="143"/>
    </row>
    <row r="258" spans="1:26" ht="18.75">
      <c r="A258" s="143"/>
      <c r="B258" s="140"/>
      <c r="C258" s="141"/>
      <c r="D258" s="142"/>
      <c r="E258" s="142"/>
      <c r="F258" s="143"/>
      <c r="G258" s="150"/>
      <c r="H258" s="150"/>
      <c r="I258" s="143"/>
      <c r="J258" s="143"/>
      <c r="K258" s="143"/>
      <c r="L258" s="143"/>
      <c r="M258" s="143"/>
      <c r="N258" s="143"/>
      <c r="O258" s="143"/>
      <c r="P258" s="143"/>
      <c r="Q258" s="143"/>
      <c r="R258" s="143"/>
      <c r="S258" s="143"/>
      <c r="T258" s="143"/>
      <c r="U258" s="143"/>
      <c r="V258" s="143"/>
      <c r="W258" s="143"/>
      <c r="X258" s="143"/>
      <c r="Y258" s="143"/>
      <c r="Z258" s="143"/>
    </row>
    <row r="259" spans="1:26" ht="18.75">
      <c r="A259" s="143"/>
      <c r="B259" s="140"/>
      <c r="C259" s="141"/>
      <c r="D259" s="142"/>
      <c r="E259" s="142"/>
      <c r="F259" s="143"/>
      <c r="G259" s="152"/>
      <c r="H259" s="152"/>
      <c r="I259" s="143"/>
      <c r="J259" s="143"/>
      <c r="K259" s="143"/>
      <c r="L259" s="143"/>
      <c r="M259" s="143"/>
      <c r="N259" s="143"/>
      <c r="O259" s="143"/>
      <c r="P259" s="143"/>
      <c r="Q259" s="143"/>
      <c r="R259" s="143"/>
      <c r="S259" s="143"/>
      <c r="T259" s="143"/>
      <c r="U259" s="143"/>
      <c r="V259" s="143"/>
      <c r="W259" s="143"/>
      <c r="X259" s="143"/>
      <c r="Y259" s="143"/>
      <c r="Z259" s="143"/>
    </row>
    <row r="260" spans="1:26" ht="18.75">
      <c r="A260" s="143"/>
      <c r="B260" s="140"/>
      <c r="C260" s="141"/>
      <c r="D260" s="142"/>
      <c r="E260" s="142"/>
      <c r="F260" s="143"/>
      <c r="G260" s="150"/>
      <c r="H260" s="150"/>
      <c r="I260" s="143"/>
      <c r="J260" s="143"/>
      <c r="K260" s="143"/>
      <c r="L260" s="143"/>
      <c r="M260" s="143"/>
      <c r="N260" s="143"/>
      <c r="O260" s="143"/>
      <c r="P260" s="143"/>
      <c r="Q260" s="143"/>
      <c r="R260" s="143"/>
      <c r="S260" s="143"/>
      <c r="T260" s="143"/>
      <c r="U260" s="143"/>
      <c r="V260" s="143"/>
      <c r="W260" s="143"/>
      <c r="X260" s="143"/>
      <c r="Y260" s="143"/>
      <c r="Z260" s="143"/>
    </row>
    <row r="261" spans="1:26" ht="18.75">
      <c r="A261" s="143"/>
      <c r="B261" s="140"/>
      <c r="C261" s="141"/>
      <c r="D261" s="142"/>
      <c r="E261" s="142"/>
      <c r="F261" s="143"/>
      <c r="G261" s="152"/>
      <c r="H261" s="152"/>
      <c r="I261" s="143"/>
      <c r="J261" s="143"/>
      <c r="K261" s="143"/>
      <c r="L261" s="143"/>
      <c r="M261" s="143"/>
      <c r="N261" s="143"/>
      <c r="O261" s="143"/>
      <c r="P261" s="143"/>
      <c r="Q261" s="143"/>
      <c r="R261" s="143"/>
      <c r="S261" s="143"/>
      <c r="T261" s="143"/>
      <c r="U261" s="143"/>
      <c r="V261" s="143"/>
      <c r="W261" s="143"/>
      <c r="X261" s="143"/>
      <c r="Y261" s="143"/>
      <c r="Z261" s="143"/>
    </row>
    <row r="262" spans="1:26" ht="18.75">
      <c r="A262" s="143"/>
      <c r="B262" s="140"/>
      <c r="C262" s="141"/>
      <c r="D262" s="142"/>
      <c r="E262" s="142"/>
      <c r="F262" s="143"/>
      <c r="G262" s="150"/>
      <c r="H262" s="150"/>
      <c r="I262" s="143"/>
      <c r="J262" s="143"/>
      <c r="K262" s="143"/>
      <c r="L262" s="143"/>
      <c r="M262" s="143"/>
      <c r="N262" s="143"/>
      <c r="O262" s="143"/>
      <c r="P262" s="143"/>
      <c r="Q262" s="143"/>
      <c r="R262" s="143"/>
      <c r="S262" s="143"/>
      <c r="T262" s="143"/>
      <c r="U262" s="143"/>
      <c r="V262" s="143"/>
      <c r="W262" s="143"/>
      <c r="X262" s="143"/>
      <c r="Y262" s="143"/>
      <c r="Z262" s="143"/>
    </row>
    <row r="263" spans="1:26" ht="18.75">
      <c r="A263" s="143"/>
      <c r="B263" s="140"/>
      <c r="C263" s="141"/>
      <c r="D263" s="142"/>
      <c r="E263" s="142"/>
      <c r="F263" s="143"/>
      <c r="G263" s="152"/>
      <c r="H263" s="152"/>
      <c r="I263" s="143"/>
      <c r="J263" s="143"/>
      <c r="K263" s="143"/>
      <c r="L263" s="143"/>
      <c r="M263" s="143"/>
      <c r="N263" s="143"/>
      <c r="O263" s="143"/>
      <c r="P263" s="143"/>
      <c r="Q263" s="143"/>
      <c r="R263" s="143"/>
      <c r="S263" s="143"/>
      <c r="T263" s="143"/>
      <c r="U263" s="143"/>
      <c r="V263" s="143"/>
      <c r="W263" s="143"/>
      <c r="X263" s="143"/>
      <c r="Y263" s="143"/>
      <c r="Z263" s="143"/>
    </row>
    <row r="264" spans="1:26" ht="18.75">
      <c r="A264" s="143"/>
      <c r="B264" s="140"/>
      <c r="C264" s="141"/>
      <c r="D264" s="142"/>
      <c r="E264" s="142"/>
      <c r="F264" s="143"/>
      <c r="G264" s="150"/>
      <c r="H264" s="150"/>
      <c r="I264" s="143"/>
      <c r="J264" s="143"/>
      <c r="K264" s="143"/>
      <c r="L264" s="143"/>
      <c r="M264" s="143"/>
      <c r="N264" s="143"/>
      <c r="O264" s="143"/>
      <c r="P264" s="143"/>
      <c r="Q264" s="143"/>
      <c r="R264" s="143"/>
      <c r="S264" s="143"/>
      <c r="T264" s="143"/>
      <c r="U264" s="143"/>
      <c r="V264" s="143"/>
      <c r="W264" s="143"/>
      <c r="X264" s="143"/>
      <c r="Y264" s="143"/>
      <c r="Z264" s="143"/>
    </row>
    <row r="265" spans="1:26" ht="18.75">
      <c r="A265" s="143"/>
      <c r="B265" s="140"/>
      <c r="C265" s="141"/>
      <c r="D265" s="142"/>
      <c r="E265" s="142"/>
      <c r="F265" s="143"/>
      <c r="G265" s="152"/>
      <c r="H265" s="152"/>
      <c r="I265" s="143"/>
      <c r="J265" s="143"/>
      <c r="K265" s="143"/>
      <c r="L265" s="143"/>
      <c r="M265" s="143"/>
      <c r="N265" s="143"/>
      <c r="O265" s="143"/>
      <c r="P265" s="143"/>
      <c r="Q265" s="143"/>
      <c r="R265" s="143"/>
      <c r="S265" s="143"/>
      <c r="T265" s="143"/>
      <c r="U265" s="143"/>
      <c r="V265" s="143"/>
      <c r="W265" s="143"/>
      <c r="X265" s="143"/>
      <c r="Y265" s="143"/>
      <c r="Z265" s="143"/>
    </row>
    <row r="266" spans="1:26" ht="18.75">
      <c r="A266" s="143"/>
      <c r="B266" s="140"/>
      <c r="C266" s="141"/>
      <c r="D266" s="142"/>
      <c r="E266" s="142"/>
      <c r="F266" s="143"/>
      <c r="G266" s="150"/>
      <c r="H266" s="150"/>
      <c r="I266" s="143"/>
      <c r="J266" s="143"/>
      <c r="K266" s="143"/>
      <c r="L266" s="143"/>
      <c r="M266" s="143"/>
      <c r="N266" s="143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  <c r="Z266" s="143"/>
    </row>
    <row r="267" spans="1:26" ht="18.75">
      <c r="A267" s="143"/>
      <c r="B267" s="140"/>
      <c r="C267" s="141"/>
      <c r="D267" s="142"/>
      <c r="E267" s="142"/>
      <c r="F267" s="143"/>
      <c r="G267" s="152"/>
      <c r="H267" s="152"/>
      <c r="I267" s="143"/>
      <c r="J267" s="143"/>
      <c r="K267" s="143"/>
      <c r="L267" s="143"/>
      <c r="M267" s="143"/>
      <c r="N267" s="143"/>
      <c r="O267" s="143"/>
      <c r="P267" s="143"/>
      <c r="Q267" s="143"/>
      <c r="R267" s="143"/>
      <c r="S267" s="143"/>
      <c r="T267" s="143"/>
      <c r="U267" s="143"/>
      <c r="V267" s="143"/>
      <c r="W267" s="143"/>
      <c r="X267" s="143"/>
      <c r="Y267" s="143"/>
      <c r="Z267" s="143"/>
    </row>
    <row r="268" spans="1:26" ht="18.75">
      <c r="A268" s="143"/>
      <c r="B268" s="140"/>
      <c r="C268" s="141"/>
      <c r="D268" s="142"/>
      <c r="E268" s="142"/>
      <c r="F268" s="143"/>
      <c r="G268" s="150"/>
      <c r="H268" s="150"/>
      <c r="I268" s="143"/>
      <c r="J268" s="143"/>
      <c r="K268" s="143"/>
      <c r="L268" s="143"/>
      <c r="M268" s="143"/>
      <c r="N268" s="143"/>
      <c r="O268" s="143"/>
      <c r="P268" s="143"/>
      <c r="Q268" s="143"/>
      <c r="R268" s="143"/>
      <c r="S268" s="143"/>
      <c r="T268" s="143"/>
      <c r="U268" s="143"/>
      <c r="V268" s="143"/>
      <c r="W268" s="143"/>
      <c r="X268" s="143"/>
      <c r="Y268" s="143"/>
      <c r="Z268" s="143"/>
    </row>
    <row r="269" spans="1:26" ht="18.75">
      <c r="A269" s="143"/>
      <c r="B269" s="140"/>
      <c r="C269" s="141"/>
      <c r="D269" s="142"/>
      <c r="E269" s="142"/>
      <c r="F269" s="143"/>
      <c r="G269" s="152"/>
      <c r="H269" s="152"/>
      <c r="I269" s="143"/>
      <c r="J269" s="143"/>
      <c r="K269" s="143"/>
      <c r="L269" s="143"/>
      <c r="M269" s="143"/>
      <c r="N269" s="143"/>
      <c r="O269" s="143"/>
      <c r="P269" s="143"/>
      <c r="Q269" s="143"/>
      <c r="R269" s="143"/>
      <c r="S269" s="143"/>
      <c r="T269" s="143"/>
      <c r="U269" s="143"/>
      <c r="V269" s="143"/>
      <c r="W269" s="143"/>
      <c r="X269" s="143"/>
      <c r="Y269" s="143"/>
      <c r="Z269" s="143"/>
    </row>
    <row r="270" spans="1:26" ht="18.75">
      <c r="A270" s="143"/>
      <c r="B270" s="140"/>
      <c r="C270" s="141"/>
      <c r="D270" s="142"/>
      <c r="E270" s="142"/>
      <c r="F270" s="143"/>
      <c r="G270" s="150"/>
      <c r="H270" s="150"/>
      <c r="I270" s="143"/>
      <c r="J270" s="143"/>
      <c r="K270" s="143"/>
      <c r="L270" s="143"/>
      <c r="M270" s="143"/>
      <c r="N270" s="143"/>
      <c r="O270" s="143"/>
      <c r="P270" s="143"/>
      <c r="Q270" s="143"/>
      <c r="R270" s="143"/>
      <c r="S270" s="143"/>
      <c r="T270" s="143"/>
      <c r="U270" s="143"/>
      <c r="V270" s="143"/>
      <c r="W270" s="143"/>
      <c r="X270" s="143"/>
      <c r="Y270" s="143"/>
      <c r="Z270" s="143"/>
    </row>
    <row r="271" spans="1:26" ht="18.75">
      <c r="A271" s="143"/>
      <c r="B271" s="140"/>
      <c r="C271" s="141"/>
      <c r="D271" s="142"/>
      <c r="E271" s="142"/>
      <c r="F271" s="143"/>
      <c r="G271" s="152"/>
      <c r="H271" s="152"/>
      <c r="I271" s="143"/>
      <c r="J271" s="143"/>
      <c r="K271" s="143"/>
      <c r="L271" s="143"/>
      <c r="M271" s="143"/>
      <c r="N271" s="143"/>
      <c r="O271" s="143"/>
      <c r="P271" s="143"/>
      <c r="Q271" s="143"/>
      <c r="R271" s="143"/>
      <c r="S271" s="143"/>
      <c r="T271" s="143"/>
      <c r="U271" s="143"/>
      <c r="V271" s="143"/>
      <c r="W271" s="143"/>
      <c r="X271" s="143"/>
      <c r="Y271" s="143"/>
      <c r="Z271" s="143"/>
    </row>
    <row r="272" spans="1:26" ht="18.75">
      <c r="A272" s="143"/>
      <c r="B272" s="140"/>
      <c r="C272" s="141"/>
      <c r="D272" s="142"/>
      <c r="E272" s="142"/>
      <c r="F272" s="143"/>
      <c r="G272" s="150"/>
      <c r="H272" s="150"/>
      <c r="I272" s="143"/>
      <c r="J272" s="143"/>
      <c r="K272" s="143"/>
      <c r="L272" s="143"/>
      <c r="M272" s="143"/>
      <c r="N272" s="143"/>
      <c r="O272" s="143"/>
      <c r="P272" s="143"/>
      <c r="Q272" s="143"/>
      <c r="R272" s="143"/>
      <c r="S272" s="143"/>
      <c r="T272" s="143"/>
      <c r="U272" s="143"/>
      <c r="V272" s="143"/>
      <c r="W272" s="143"/>
      <c r="X272" s="143"/>
      <c r="Y272" s="143"/>
      <c r="Z272" s="143"/>
    </row>
    <row r="273" spans="1:26" ht="18.75">
      <c r="A273" s="143"/>
      <c r="B273" s="140"/>
      <c r="C273" s="141"/>
      <c r="D273" s="142"/>
      <c r="E273" s="142"/>
      <c r="F273" s="143"/>
      <c r="G273" s="152"/>
      <c r="H273" s="152"/>
      <c r="I273" s="143"/>
      <c r="J273" s="143"/>
      <c r="K273" s="143"/>
      <c r="L273" s="143"/>
      <c r="M273" s="143"/>
      <c r="N273" s="143"/>
      <c r="O273" s="143"/>
      <c r="P273" s="143"/>
      <c r="Q273" s="143"/>
      <c r="R273" s="143"/>
      <c r="S273" s="143"/>
      <c r="T273" s="143"/>
      <c r="U273" s="143"/>
      <c r="V273" s="143"/>
      <c r="W273" s="143"/>
      <c r="X273" s="143"/>
      <c r="Y273" s="143"/>
      <c r="Z273" s="143"/>
    </row>
    <row r="274" spans="1:26" ht="18.75">
      <c r="A274" s="143"/>
      <c r="B274" s="140"/>
      <c r="C274" s="141"/>
      <c r="D274" s="142"/>
      <c r="E274" s="142"/>
      <c r="F274" s="143"/>
      <c r="G274" s="150"/>
      <c r="H274" s="150"/>
      <c r="I274" s="143"/>
      <c r="J274" s="143"/>
      <c r="K274" s="143"/>
      <c r="L274" s="143"/>
      <c r="M274" s="143"/>
      <c r="N274" s="143"/>
      <c r="O274" s="143"/>
      <c r="P274" s="143"/>
      <c r="Q274" s="143"/>
      <c r="R274" s="143"/>
      <c r="S274" s="143"/>
      <c r="T274" s="143"/>
      <c r="U274" s="143"/>
      <c r="V274" s="143"/>
      <c r="W274" s="143"/>
      <c r="X274" s="143"/>
      <c r="Y274" s="143"/>
      <c r="Z274" s="143"/>
    </row>
    <row r="275" spans="1:26" ht="18.75">
      <c r="A275" s="143"/>
      <c r="B275" s="140"/>
      <c r="C275" s="141"/>
      <c r="D275" s="142"/>
      <c r="E275" s="142"/>
      <c r="F275" s="143"/>
      <c r="G275" s="152"/>
      <c r="H275" s="152"/>
      <c r="I275" s="143"/>
      <c r="J275" s="143"/>
      <c r="K275" s="143"/>
      <c r="L275" s="143"/>
      <c r="M275" s="143"/>
      <c r="N275" s="143"/>
      <c r="O275" s="143"/>
      <c r="P275" s="143"/>
      <c r="Q275" s="143"/>
      <c r="R275" s="143"/>
      <c r="S275" s="143"/>
      <c r="T275" s="143"/>
      <c r="U275" s="143"/>
      <c r="V275" s="143"/>
      <c r="W275" s="143"/>
      <c r="X275" s="143"/>
      <c r="Y275" s="143"/>
      <c r="Z275" s="143"/>
    </row>
    <row r="276" spans="1:26" ht="18.75">
      <c r="A276" s="143"/>
      <c r="B276" s="140"/>
      <c r="C276" s="141"/>
      <c r="D276" s="142"/>
      <c r="E276" s="142"/>
      <c r="F276" s="143"/>
      <c r="G276" s="150"/>
      <c r="H276" s="150"/>
      <c r="I276" s="143"/>
      <c r="J276" s="143"/>
      <c r="K276" s="143"/>
      <c r="L276" s="143"/>
      <c r="M276" s="143"/>
      <c r="N276" s="143"/>
      <c r="O276" s="143"/>
      <c r="P276" s="143"/>
      <c r="Q276" s="143"/>
      <c r="R276" s="143"/>
      <c r="S276" s="143"/>
      <c r="T276" s="143"/>
      <c r="U276" s="143"/>
      <c r="V276" s="143"/>
      <c r="W276" s="143"/>
      <c r="X276" s="143"/>
      <c r="Y276" s="143"/>
      <c r="Z276" s="143"/>
    </row>
    <row r="277" spans="1:26" ht="18.75">
      <c r="A277" s="143"/>
      <c r="B277" s="140"/>
      <c r="C277" s="141"/>
      <c r="D277" s="142"/>
      <c r="E277" s="142"/>
      <c r="F277" s="143"/>
      <c r="G277" s="152"/>
      <c r="H277" s="152"/>
      <c r="I277" s="143"/>
      <c r="J277" s="143"/>
      <c r="K277" s="143"/>
      <c r="L277" s="143"/>
      <c r="M277" s="143"/>
      <c r="N277" s="143"/>
      <c r="O277" s="143"/>
      <c r="P277" s="143"/>
      <c r="Q277" s="143"/>
      <c r="R277" s="143"/>
      <c r="S277" s="143"/>
      <c r="T277" s="143"/>
      <c r="U277" s="143"/>
      <c r="V277" s="143"/>
      <c r="W277" s="143"/>
      <c r="X277" s="143"/>
      <c r="Y277" s="143"/>
      <c r="Z277" s="143"/>
    </row>
    <row r="278" spans="1:26" ht="18.75">
      <c r="A278" s="143"/>
      <c r="B278" s="140"/>
      <c r="C278" s="141"/>
      <c r="D278" s="142"/>
      <c r="E278" s="142"/>
      <c r="F278" s="143"/>
      <c r="G278" s="150"/>
      <c r="H278" s="150"/>
      <c r="I278" s="143"/>
      <c r="J278" s="143"/>
      <c r="K278" s="143"/>
      <c r="L278" s="143"/>
      <c r="M278" s="143"/>
      <c r="N278" s="143"/>
      <c r="O278" s="143"/>
      <c r="P278" s="143"/>
      <c r="Q278" s="143"/>
      <c r="R278" s="143"/>
      <c r="S278" s="143"/>
      <c r="T278" s="143"/>
      <c r="U278" s="143"/>
      <c r="V278" s="143"/>
      <c r="W278" s="143"/>
      <c r="X278" s="143"/>
      <c r="Y278" s="143"/>
      <c r="Z278" s="143"/>
    </row>
    <row r="279" spans="1:26" ht="18.75">
      <c r="A279" s="143"/>
      <c r="B279" s="140"/>
      <c r="C279" s="141"/>
      <c r="D279" s="142"/>
      <c r="E279" s="142"/>
      <c r="F279" s="143"/>
      <c r="G279" s="152"/>
      <c r="H279" s="152"/>
      <c r="I279" s="143"/>
      <c r="J279" s="143"/>
      <c r="K279" s="143"/>
      <c r="L279" s="143"/>
      <c r="M279" s="143"/>
      <c r="N279" s="143"/>
      <c r="O279" s="143"/>
      <c r="P279" s="143"/>
      <c r="Q279" s="143"/>
      <c r="R279" s="143"/>
      <c r="S279" s="143"/>
      <c r="T279" s="143"/>
      <c r="U279" s="143"/>
      <c r="V279" s="143"/>
      <c r="W279" s="143"/>
      <c r="X279" s="143"/>
      <c r="Y279" s="143"/>
      <c r="Z279" s="143"/>
    </row>
    <row r="280" spans="1:26" ht="18.75">
      <c r="A280" s="143"/>
      <c r="B280" s="140"/>
      <c r="C280" s="141"/>
      <c r="D280" s="142"/>
      <c r="E280" s="142"/>
      <c r="F280" s="143"/>
      <c r="G280" s="150"/>
      <c r="H280" s="150"/>
      <c r="I280" s="143"/>
      <c r="J280" s="143"/>
      <c r="K280" s="143"/>
      <c r="L280" s="143"/>
      <c r="M280" s="143"/>
      <c r="N280" s="143"/>
      <c r="O280" s="143"/>
      <c r="P280" s="143"/>
      <c r="Q280" s="143"/>
      <c r="R280" s="143"/>
      <c r="S280" s="143"/>
      <c r="T280" s="143"/>
      <c r="U280" s="143"/>
      <c r="V280" s="143"/>
      <c r="W280" s="143"/>
      <c r="X280" s="143"/>
      <c r="Y280" s="143"/>
      <c r="Z280" s="143"/>
    </row>
    <row r="281" spans="1:26" ht="18.75">
      <c r="A281" s="143"/>
      <c r="B281" s="140"/>
      <c r="C281" s="141"/>
      <c r="D281" s="142"/>
      <c r="E281" s="142"/>
      <c r="F281" s="143"/>
      <c r="G281" s="152"/>
      <c r="H281" s="152"/>
      <c r="I281" s="143"/>
      <c r="J281" s="143"/>
      <c r="K281" s="143"/>
      <c r="L281" s="143"/>
      <c r="M281" s="143"/>
      <c r="N281" s="143"/>
      <c r="O281" s="143"/>
      <c r="P281" s="143"/>
      <c r="Q281" s="143"/>
      <c r="R281" s="143"/>
      <c r="S281" s="143"/>
      <c r="T281" s="143"/>
      <c r="U281" s="143"/>
      <c r="V281" s="143"/>
      <c r="W281" s="143"/>
      <c r="X281" s="143"/>
      <c r="Y281" s="143"/>
      <c r="Z281" s="143"/>
    </row>
    <row r="282" spans="1:26" ht="18.75">
      <c r="A282" s="143"/>
      <c r="B282" s="140"/>
      <c r="C282" s="141"/>
      <c r="D282" s="142"/>
      <c r="E282" s="142"/>
      <c r="F282" s="143"/>
      <c r="G282" s="150"/>
      <c r="H282" s="150"/>
      <c r="I282" s="143"/>
      <c r="J282" s="143"/>
      <c r="K282" s="143"/>
      <c r="L282" s="143"/>
      <c r="M282" s="143"/>
      <c r="N282" s="143"/>
      <c r="O282" s="143"/>
      <c r="P282" s="143"/>
      <c r="Q282" s="143"/>
      <c r="R282" s="143"/>
      <c r="S282" s="143"/>
      <c r="T282" s="143"/>
      <c r="U282" s="143"/>
      <c r="V282" s="143"/>
      <c r="W282" s="143"/>
      <c r="X282" s="143"/>
      <c r="Y282" s="143"/>
      <c r="Z282" s="143"/>
    </row>
    <row r="283" spans="1:26" ht="18.75">
      <c r="A283" s="143"/>
      <c r="B283" s="140"/>
      <c r="C283" s="141"/>
      <c r="D283" s="142"/>
      <c r="E283" s="142"/>
      <c r="F283" s="143"/>
      <c r="G283" s="152"/>
      <c r="H283" s="152"/>
      <c r="I283" s="143"/>
      <c r="J283" s="143"/>
      <c r="K283" s="143"/>
      <c r="L283" s="143"/>
      <c r="M283" s="143"/>
      <c r="N283" s="143"/>
      <c r="O283" s="143"/>
      <c r="P283" s="143"/>
      <c r="Q283" s="143"/>
      <c r="R283" s="143"/>
      <c r="S283" s="143"/>
      <c r="T283" s="143"/>
      <c r="U283" s="143"/>
      <c r="V283" s="143"/>
      <c r="W283" s="143"/>
      <c r="X283" s="143"/>
      <c r="Y283" s="143"/>
      <c r="Z283" s="143"/>
    </row>
    <row r="284" spans="1:26" ht="18.75">
      <c r="A284" s="143"/>
      <c r="B284" s="140"/>
      <c r="C284" s="141"/>
      <c r="D284" s="142"/>
      <c r="E284" s="142"/>
      <c r="F284" s="143"/>
      <c r="G284" s="150"/>
      <c r="H284" s="150"/>
      <c r="I284" s="143"/>
      <c r="J284" s="143"/>
      <c r="K284" s="143"/>
      <c r="L284" s="143"/>
      <c r="M284" s="143"/>
      <c r="N284" s="143"/>
      <c r="O284" s="143"/>
      <c r="P284" s="143"/>
      <c r="Q284" s="143"/>
      <c r="R284" s="143"/>
      <c r="S284" s="143"/>
      <c r="T284" s="143"/>
      <c r="U284" s="143"/>
      <c r="V284" s="143"/>
      <c r="W284" s="143"/>
      <c r="X284" s="143"/>
      <c r="Y284" s="143"/>
      <c r="Z284" s="143"/>
    </row>
    <row r="285" spans="1:26" ht="18.75">
      <c r="A285" s="143"/>
      <c r="B285" s="140"/>
      <c r="C285" s="141"/>
      <c r="D285" s="142"/>
      <c r="E285" s="142"/>
      <c r="F285" s="143"/>
      <c r="G285" s="152"/>
      <c r="H285" s="152"/>
      <c r="I285" s="143"/>
      <c r="J285" s="143"/>
      <c r="K285" s="143"/>
      <c r="L285" s="143"/>
      <c r="M285" s="143"/>
      <c r="N285" s="143"/>
      <c r="O285" s="143"/>
      <c r="P285" s="143"/>
      <c r="Q285" s="143"/>
      <c r="R285" s="143"/>
      <c r="S285" s="143"/>
      <c r="T285" s="143"/>
      <c r="U285" s="143"/>
      <c r="V285" s="143"/>
      <c r="W285" s="143"/>
      <c r="X285" s="143"/>
      <c r="Y285" s="143"/>
      <c r="Z285" s="143"/>
    </row>
    <row r="286" spans="1:26" ht="18.75">
      <c r="A286" s="143"/>
      <c r="B286" s="140"/>
      <c r="C286" s="141"/>
      <c r="D286" s="142"/>
      <c r="E286" s="142"/>
      <c r="F286" s="143"/>
      <c r="G286" s="150"/>
      <c r="H286" s="150"/>
      <c r="I286" s="143"/>
      <c r="J286" s="143"/>
      <c r="K286" s="143"/>
      <c r="L286" s="143"/>
      <c r="M286" s="143"/>
      <c r="N286" s="143"/>
      <c r="O286" s="143"/>
      <c r="P286" s="143"/>
      <c r="Q286" s="143"/>
      <c r="R286" s="143"/>
      <c r="S286" s="143"/>
      <c r="T286" s="143"/>
      <c r="U286" s="143"/>
      <c r="V286" s="143"/>
      <c r="W286" s="143"/>
      <c r="X286" s="143"/>
      <c r="Y286" s="143"/>
      <c r="Z286" s="143"/>
    </row>
    <row r="287" spans="1:26" ht="18.75">
      <c r="A287" s="143"/>
      <c r="B287" s="140"/>
      <c r="C287" s="141"/>
      <c r="D287" s="142"/>
      <c r="E287" s="142"/>
      <c r="F287" s="143"/>
      <c r="G287" s="152"/>
      <c r="H287" s="152"/>
      <c r="I287" s="143"/>
      <c r="J287" s="143"/>
      <c r="K287" s="143"/>
      <c r="L287" s="143"/>
      <c r="M287" s="143"/>
      <c r="N287" s="143"/>
      <c r="O287" s="143"/>
      <c r="P287" s="143"/>
      <c r="Q287" s="143"/>
      <c r="R287" s="143"/>
      <c r="S287" s="143"/>
      <c r="T287" s="143"/>
      <c r="U287" s="143"/>
      <c r="V287" s="143"/>
      <c r="W287" s="143"/>
      <c r="X287" s="143"/>
      <c r="Y287" s="143"/>
      <c r="Z287" s="143"/>
    </row>
    <row r="288" spans="1:26" ht="18.75">
      <c r="A288" s="143"/>
      <c r="B288" s="140"/>
      <c r="C288" s="141"/>
      <c r="D288" s="142"/>
      <c r="E288" s="142"/>
      <c r="F288" s="143"/>
      <c r="G288" s="150"/>
      <c r="H288" s="150"/>
      <c r="I288" s="143"/>
      <c r="J288" s="143"/>
      <c r="K288" s="143"/>
      <c r="L288" s="143"/>
      <c r="M288" s="143"/>
      <c r="N288" s="143"/>
      <c r="O288" s="143"/>
      <c r="P288" s="143"/>
      <c r="Q288" s="143"/>
      <c r="R288" s="143"/>
      <c r="S288" s="143"/>
      <c r="T288" s="143"/>
      <c r="U288" s="143"/>
      <c r="V288" s="143"/>
      <c r="W288" s="143"/>
      <c r="X288" s="143"/>
      <c r="Y288" s="143"/>
      <c r="Z288" s="143"/>
    </row>
    <row r="289" spans="1:26" ht="18.75">
      <c r="A289" s="143"/>
      <c r="B289" s="140"/>
      <c r="C289" s="141"/>
      <c r="D289" s="142"/>
      <c r="E289" s="142"/>
      <c r="F289" s="143"/>
      <c r="G289" s="152"/>
      <c r="H289" s="152"/>
      <c r="I289" s="143"/>
      <c r="J289" s="143"/>
      <c r="K289" s="143"/>
      <c r="L289" s="143"/>
      <c r="M289" s="143"/>
      <c r="N289" s="143"/>
      <c r="O289" s="143"/>
      <c r="P289" s="143"/>
      <c r="Q289" s="143"/>
      <c r="R289" s="143"/>
      <c r="S289" s="143"/>
      <c r="T289" s="143"/>
      <c r="U289" s="143"/>
      <c r="V289" s="143"/>
      <c r="W289" s="143"/>
      <c r="X289" s="143"/>
      <c r="Y289" s="143"/>
      <c r="Z289" s="143"/>
    </row>
    <row r="290" spans="1:26" ht="18.75">
      <c r="A290" s="143"/>
      <c r="B290" s="140"/>
      <c r="C290" s="141"/>
      <c r="D290" s="142"/>
      <c r="E290" s="142"/>
      <c r="F290" s="143"/>
      <c r="G290" s="150"/>
      <c r="H290" s="150"/>
      <c r="I290" s="143"/>
      <c r="J290" s="143"/>
      <c r="K290" s="143"/>
      <c r="L290" s="143"/>
      <c r="M290" s="143"/>
      <c r="N290" s="143"/>
      <c r="O290" s="143"/>
      <c r="P290" s="143"/>
      <c r="Q290" s="143"/>
      <c r="R290" s="143"/>
      <c r="S290" s="143"/>
      <c r="T290" s="143"/>
      <c r="U290" s="143"/>
      <c r="V290" s="143"/>
      <c r="W290" s="143"/>
      <c r="X290" s="143"/>
      <c r="Y290" s="143"/>
      <c r="Z290" s="143"/>
    </row>
    <row r="291" spans="1:26" ht="18.75">
      <c r="A291" s="143"/>
      <c r="B291" s="140"/>
      <c r="C291" s="141"/>
      <c r="D291" s="142"/>
      <c r="E291" s="142"/>
      <c r="F291" s="143"/>
      <c r="G291" s="152"/>
      <c r="H291" s="152"/>
      <c r="I291" s="143"/>
      <c r="J291" s="143"/>
      <c r="K291" s="143"/>
      <c r="L291" s="143"/>
      <c r="M291" s="143"/>
      <c r="N291" s="143"/>
      <c r="O291" s="143"/>
      <c r="P291" s="143"/>
      <c r="Q291" s="143"/>
      <c r="R291" s="143"/>
      <c r="S291" s="143"/>
      <c r="T291" s="143"/>
      <c r="U291" s="143"/>
      <c r="V291" s="143"/>
      <c r="W291" s="143"/>
      <c r="X291" s="143"/>
      <c r="Y291" s="143"/>
      <c r="Z291" s="143"/>
    </row>
    <row r="292" spans="1:26" ht="18.75">
      <c r="A292" s="143"/>
      <c r="B292" s="140"/>
      <c r="C292" s="141"/>
      <c r="D292" s="142"/>
      <c r="E292" s="142"/>
      <c r="F292" s="143"/>
      <c r="G292" s="150"/>
      <c r="H292" s="150"/>
      <c r="I292" s="143"/>
      <c r="J292" s="143"/>
      <c r="K292" s="143"/>
      <c r="L292" s="143"/>
      <c r="M292" s="143"/>
      <c r="N292" s="143"/>
      <c r="O292" s="143"/>
      <c r="P292" s="143"/>
      <c r="Q292" s="143"/>
      <c r="R292" s="143"/>
      <c r="S292" s="143"/>
      <c r="T292" s="143"/>
      <c r="U292" s="143"/>
      <c r="V292" s="143"/>
      <c r="W292" s="143"/>
      <c r="X292" s="143"/>
      <c r="Y292" s="143"/>
      <c r="Z292" s="143"/>
    </row>
    <row r="293" spans="1:26" ht="18.75">
      <c r="A293" s="143"/>
      <c r="B293" s="140"/>
      <c r="C293" s="141"/>
      <c r="D293" s="142"/>
      <c r="E293" s="142"/>
      <c r="F293" s="143"/>
      <c r="G293" s="152"/>
      <c r="H293" s="152"/>
      <c r="I293" s="143"/>
      <c r="J293" s="143"/>
      <c r="K293" s="143"/>
      <c r="L293" s="143"/>
      <c r="M293" s="143"/>
      <c r="N293" s="143"/>
      <c r="O293" s="143"/>
      <c r="P293" s="143"/>
      <c r="Q293" s="143"/>
      <c r="R293" s="143"/>
      <c r="S293" s="143"/>
      <c r="T293" s="143"/>
      <c r="U293" s="143"/>
      <c r="V293" s="143"/>
      <c r="W293" s="143"/>
      <c r="X293" s="143"/>
      <c r="Y293" s="143"/>
      <c r="Z293" s="143"/>
    </row>
    <row r="294" spans="1:26" ht="18.75">
      <c r="A294" s="143"/>
      <c r="B294" s="140"/>
      <c r="C294" s="141"/>
      <c r="D294" s="142"/>
      <c r="E294" s="142"/>
      <c r="F294" s="143"/>
      <c r="G294" s="150"/>
      <c r="H294" s="150"/>
      <c r="I294" s="143"/>
      <c r="J294" s="143"/>
      <c r="K294" s="143"/>
      <c r="L294" s="143"/>
      <c r="M294" s="143"/>
      <c r="N294" s="143"/>
      <c r="O294" s="143"/>
      <c r="P294" s="143"/>
      <c r="Q294" s="143"/>
      <c r="R294" s="143"/>
      <c r="S294" s="143"/>
      <c r="T294" s="143"/>
      <c r="U294" s="143"/>
      <c r="V294" s="143"/>
      <c r="W294" s="143"/>
      <c r="X294" s="143"/>
      <c r="Y294" s="143"/>
      <c r="Z294" s="143"/>
    </row>
    <row r="295" spans="1:26" ht="18.75">
      <c r="A295" s="143"/>
      <c r="B295" s="140"/>
      <c r="C295" s="141"/>
      <c r="D295" s="142"/>
      <c r="E295" s="142"/>
      <c r="F295" s="143"/>
      <c r="G295" s="152"/>
      <c r="H295" s="152"/>
      <c r="I295" s="143"/>
      <c r="J295" s="143"/>
      <c r="K295" s="143"/>
      <c r="L295" s="143"/>
      <c r="M295" s="143"/>
      <c r="N295" s="143"/>
      <c r="O295" s="143"/>
      <c r="P295" s="143"/>
      <c r="Q295" s="143"/>
      <c r="R295" s="143"/>
      <c r="S295" s="143"/>
      <c r="T295" s="143"/>
      <c r="U295" s="143"/>
      <c r="V295" s="143"/>
      <c r="W295" s="143"/>
      <c r="X295" s="143"/>
      <c r="Y295" s="143"/>
      <c r="Z295" s="143"/>
    </row>
    <row r="296" spans="1:26" ht="18.75">
      <c r="A296" s="143"/>
      <c r="B296" s="140"/>
      <c r="C296" s="141"/>
      <c r="D296" s="142"/>
      <c r="E296" s="142"/>
      <c r="F296" s="143"/>
      <c r="G296" s="150"/>
      <c r="H296" s="150"/>
      <c r="I296" s="143"/>
      <c r="J296" s="143"/>
      <c r="K296" s="143"/>
      <c r="L296" s="143"/>
      <c r="M296" s="143"/>
      <c r="N296" s="143"/>
      <c r="O296" s="143"/>
      <c r="P296" s="143"/>
      <c r="Q296" s="143"/>
      <c r="R296" s="143"/>
      <c r="S296" s="143"/>
      <c r="T296" s="143"/>
      <c r="U296" s="143"/>
      <c r="V296" s="143"/>
      <c r="W296" s="143"/>
      <c r="X296" s="143"/>
      <c r="Y296" s="143"/>
      <c r="Z296" s="143"/>
    </row>
    <row r="297" spans="1:26" ht="18.75">
      <c r="A297" s="143"/>
      <c r="B297" s="140"/>
      <c r="C297" s="141"/>
      <c r="D297" s="142"/>
      <c r="E297" s="142"/>
      <c r="F297" s="143"/>
      <c r="G297" s="152"/>
      <c r="H297" s="152"/>
      <c r="I297" s="143"/>
      <c r="J297" s="143"/>
      <c r="K297" s="143"/>
      <c r="L297" s="143"/>
      <c r="M297" s="143"/>
      <c r="N297" s="143"/>
      <c r="O297" s="143"/>
      <c r="P297" s="143"/>
      <c r="Q297" s="143"/>
      <c r="R297" s="143"/>
      <c r="S297" s="143"/>
      <c r="T297" s="143"/>
      <c r="U297" s="143"/>
      <c r="V297" s="143"/>
      <c r="W297" s="143"/>
      <c r="X297" s="143"/>
      <c r="Y297" s="143"/>
      <c r="Z297" s="143"/>
    </row>
    <row r="298" spans="1:26" ht="18.75">
      <c r="A298" s="143"/>
      <c r="B298" s="140"/>
      <c r="C298" s="141"/>
      <c r="D298" s="142"/>
      <c r="E298" s="142"/>
      <c r="F298" s="143"/>
      <c r="G298" s="150"/>
      <c r="H298" s="150"/>
      <c r="I298" s="143"/>
      <c r="J298" s="143"/>
      <c r="K298" s="143"/>
      <c r="L298" s="143"/>
      <c r="M298" s="143"/>
      <c r="N298" s="143"/>
      <c r="O298" s="143"/>
      <c r="P298" s="143"/>
      <c r="Q298" s="143"/>
      <c r="R298" s="143"/>
      <c r="S298" s="143"/>
      <c r="T298" s="143"/>
      <c r="U298" s="143"/>
      <c r="V298" s="143"/>
      <c r="W298" s="143"/>
      <c r="X298" s="143"/>
      <c r="Y298" s="143"/>
      <c r="Z298" s="143"/>
    </row>
    <row r="299" spans="1:26" ht="18.75">
      <c r="A299" s="143"/>
      <c r="B299" s="140"/>
      <c r="C299" s="141"/>
      <c r="D299" s="142"/>
      <c r="E299" s="142"/>
      <c r="F299" s="143"/>
      <c r="G299" s="152"/>
      <c r="H299" s="152"/>
      <c r="I299" s="143"/>
      <c r="J299" s="143"/>
      <c r="K299" s="143"/>
      <c r="L299" s="143"/>
      <c r="M299" s="143"/>
      <c r="N299" s="143"/>
      <c r="O299" s="143"/>
      <c r="P299" s="143"/>
      <c r="Q299" s="143"/>
      <c r="R299" s="143"/>
      <c r="S299" s="143"/>
      <c r="T299" s="143"/>
      <c r="U299" s="143"/>
      <c r="V299" s="143"/>
      <c r="W299" s="143"/>
      <c r="X299" s="143"/>
      <c r="Y299" s="143"/>
      <c r="Z299" s="143"/>
    </row>
    <row r="300" spans="1:26" ht="18.75">
      <c r="A300" s="143"/>
      <c r="B300" s="140"/>
      <c r="C300" s="141"/>
      <c r="D300" s="142"/>
      <c r="E300" s="142"/>
      <c r="F300" s="143"/>
      <c r="G300" s="150"/>
      <c r="H300" s="150"/>
      <c r="I300" s="143"/>
      <c r="J300" s="143"/>
      <c r="K300" s="143"/>
      <c r="L300" s="143"/>
      <c r="M300" s="143"/>
      <c r="N300" s="143"/>
      <c r="O300" s="143"/>
      <c r="P300" s="143"/>
      <c r="Q300" s="143"/>
      <c r="R300" s="143"/>
      <c r="S300" s="143"/>
      <c r="T300" s="143"/>
      <c r="U300" s="143"/>
      <c r="V300" s="143"/>
      <c r="W300" s="143"/>
      <c r="X300" s="143"/>
      <c r="Y300" s="143"/>
      <c r="Z300" s="143"/>
    </row>
    <row r="301" spans="1:26" ht="18.75">
      <c r="A301" s="143"/>
      <c r="B301" s="140"/>
      <c r="C301" s="141"/>
      <c r="D301" s="142"/>
      <c r="E301" s="142"/>
      <c r="F301" s="143"/>
      <c r="G301" s="152"/>
      <c r="H301" s="152"/>
      <c r="I301" s="143"/>
      <c r="J301" s="143"/>
      <c r="K301" s="143"/>
      <c r="L301" s="143"/>
      <c r="M301" s="143"/>
      <c r="N301" s="143"/>
      <c r="O301" s="143"/>
      <c r="P301" s="143"/>
      <c r="Q301" s="143"/>
      <c r="R301" s="143"/>
      <c r="S301" s="143"/>
      <c r="T301" s="143"/>
      <c r="U301" s="143"/>
      <c r="V301" s="143"/>
      <c r="W301" s="143"/>
      <c r="X301" s="143"/>
      <c r="Y301" s="143"/>
      <c r="Z301" s="143"/>
    </row>
    <row r="302" spans="1:26" ht="18.75">
      <c r="A302" s="143"/>
      <c r="B302" s="140"/>
      <c r="C302" s="141"/>
      <c r="D302" s="142"/>
      <c r="E302" s="142"/>
      <c r="F302" s="143"/>
      <c r="G302" s="150"/>
      <c r="H302" s="150"/>
      <c r="I302" s="143"/>
      <c r="J302" s="143"/>
      <c r="K302" s="143"/>
      <c r="L302" s="143"/>
      <c r="M302" s="143"/>
      <c r="N302" s="143"/>
      <c r="O302" s="143"/>
      <c r="P302" s="143"/>
      <c r="Q302" s="143"/>
      <c r="R302" s="143"/>
      <c r="S302" s="143"/>
      <c r="T302" s="143"/>
      <c r="U302" s="143"/>
      <c r="V302" s="143"/>
      <c r="W302" s="143"/>
      <c r="X302" s="143"/>
      <c r="Y302" s="143"/>
      <c r="Z302" s="143"/>
    </row>
    <row r="303" spans="1:26" ht="18.75">
      <c r="A303" s="143"/>
      <c r="B303" s="140"/>
      <c r="C303" s="141"/>
      <c r="D303" s="142"/>
      <c r="E303" s="142"/>
      <c r="F303" s="143"/>
      <c r="G303" s="152"/>
      <c r="H303" s="152"/>
      <c r="I303" s="143"/>
      <c r="J303" s="143"/>
      <c r="K303" s="143"/>
      <c r="L303" s="143"/>
      <c r="M303" s="143"/>
      <c r="N303" s="143"/>
      <c r="O303" s="143"/>
      <c r="P303" s="143"/>
      <c r="Q303" s="143"/>
      <c r="R303" s="143"/>
      <c r="S303" s="143"/>
      <c r="T303" s="143"/>
      <c r="U303" s="143"/>
      <c r="V303" s="143"/>
      <c r="W303" s="143"/>
      <c r="X303" s="143"/>
      <c r="Y303" s="143"/>
      <c r="Z303" s="143"/>
    </row>
    <row r="304" spans="1:26" ht="18.75">
      <c r="A304" s="143"/>
      <c r="B304" s="140"/>
      <c r="C304" s="141"/>
      <c r="D304" s="142"/>
      <c r="E304" s="142"/>
      <c r="F304" s="143"/>
      <c r="G304" s="150"/>
      <c r="H304" s="150"/>
      <c r="I304" s="143"/>
      <c r="J304" s="143"/>
      <c r="K304" s="143"/>
      <c r="L304" s="143"/>
      <c r="M304" s="143"/>
      <c r="N304" s="143"/>
      <c r="O304" s="143"/>
      <c r="P304" s="143"/>
      <c r="Q304" s="143"/>
      <c r="R304" s="143"/>
      <c r="S304" s="143"/>
      <c r="T304" s="143"/>
      <c r="U304" s="143"/>
      <c r="V304" s="143"/>
      <c r="W304" s="143"/>
      <c r="X304" s="143"/>
      <c r="Y304" s="143"/>
      <c r="Z304" s="143"/>
    </row>
    <row r="305" spans="1:26" ht="18.75">
      <c r="A305" s="143"/>
      <c r="B305" s="140"/>
      <c r="C305" s="141"/>
      <c r="D305" s="142"/>
      <c r="E305" s="142"/>
      <c r="F305" s="143"/>
      <c r="G305" s="152"/>
      <c r="H305" s="152"/>
      <c r="I305" s="143"/>
      <c r="J305" s="143"/>
      <c r="K305" s="143"/>
      <c r="L305" s="143"/>
      <c r="M305" s="143"/>
      <c r="N305" s="143"/>
      <c r="O305" s="143"/>
      <c r="P305" s="143"/>
      <c r="Q305" s="143"/>
      <c r="R305" s="143"/>
      <c r="S305" s="143"/>
      <c r="T305" s="143"/>
      <c r="U305" s="143"/>
      <c r="V305" s="143"/>
      <c r="W305" s="143"/>
      <c r="X305" s="143"/>
      <c r="Y305" s="143"/>
      <c r="Z305" s="143"/>
    </row>
    <row r="306" spans="1:26" ht="18.75">
      <c r="A306" s="143"/>
      <c r="B306" s="140"/>
      <c r="C306" s="141"/>
      <c r="D306" s="142"/>
      <c r="E306" s="142"/>
      <c r="F306" s="143"/>
      <c r="G306" s="150"/>
      <c r="H306" s="150"/>
      <c r="I306" s="143"/>
      <c r="J306" s="143"/>
      <c r="K306" s="143"/>
      <c r="L306" s="143"/>
      <c r="M306" s="143"/>
      <c r="N306" s="143"/>
      <c r="O306" s="143"/>
      <c r="P306" s="143"/>
      <c r="Q306" s="143"/>
      <c r="R306" s="143"/>
      <c r="S306" s="143"/>
      <c r="T306" s="143"/>
      <c r="U306" s="143"/>
      <c r="V306" s="143"/>
      <c r="W306" s="143"/>
      <c r="X306" s="143"/>
      <c r="Y306" s="143"/>
      <c r="Z306" s="143"/>
    </row>
    <row r="307" spans="1:26" ht="18.75">
      <c r="A307" s="143"/>
      <c r="B307" s="140"/>
      <c r="C307" s="141"/>
      <c r="D307" s="142"/>
      <c r="E307" s="142"/>
      <c r="F307" s="143"/>
      <c r="G307" s="152"/>
      <c r="H307" s="152"/>
      <c r="I307" s="143"/>
      <c r="J307" s="143"/>
      <c r="K307" s="143"/>
      <c r="L307" s="143"/>
      <c r="M307" s="143"/>
      <c r="N307" s="143"/>
      <c r="O307" s="143"/>
      <c r="P307" s="143"/>
      <c r="Q307" s="143"/>
      <c r="R307" s="143"/>
      <c r="S307" s="143"/>
      <c r="T307" s="143"/>
      <c r="U307" s="143"/>
      <c r="V307" s="143"/>
      <c r="W307" s="143"/>
      <c r="X307" s="143"/>
      <c r="Y307" s="143"/>
      <c r="Z307" s="143"/>
    </row>
    <row r="308" spans="1:26" ht="18.75">
      <c r="A308" s="143"/>
      <c r="B308" s="140"/>
      <c r="C308" s="141"/>
      <c r="D308" s="142"/>
      <c r="E308" s="142"/>
      <c r="F308" s="143"/>
      <c r="G308" s="150"/>
      <c r="H308" s="150"/>
      <c r="I308" s="143"/>
      <c r="J308" s="143"/>
      <c r="K308" s="143"/>
      <c r="L308" s="143"/>
      <c r="M308" s="143"/>
      <c r="N308" s="143"/>
      <c r="O308" s="143"/>
      <c r="P308" s="143"/>
      <c r="Q308" s="143"/>
      <c r="R308" s="143"/>
      <c r="S308" s="143"/>
      <c r="T308" s="143"/>
      <c r="U308" s="143"/>
      <c r="V308" s="143"/>
      <c r="W308" s="143"/>
      <c r="X308" s="143"/>
      <c r="Y308" s="143"/>
      <c r="Z308" s="143"/>
    </row>
    <row r="309" spans="1:26" ht="18.75">
      <c r="A309" s="143"/>
      <c r="B309" s="140"/>
      <c r="C309" s="141"/>
      <c r="D309" s="142"/>
      <c r="E309" s="142"/>
      <c r="F309" s="143"/>
      <c r="G309" s="152"/>
      <c r="H309" s="152"/>
      <c r="I309" s="143"/>
      <c r="J309" s="143"/>
      <c r="K309" s="143"/>
      <c r="L309" s="143"/>
      <c r="M309" s="143"/>
      <c r="N309" s="143"/>
      <c r="O309" s="143"/>
      <c r="P309" s="143"/>
      <c r="Q309" s="143"/>
      <c r="R309" s="143"/>
      <c r="S309" s="143"/>
      <c r="T309" s="143"/>
      <c r="U309" s="143"/>
      <c r="V309" s="143"/>
      <c r="W309" s="143"/>
      <c r="X309" s="143"/>
      <c r="Y309" s="143"/>
      <c r="Z309" s="143"/>
    </row>
    <row r="310" spans="1:26" ht="18.75">
      <c r="A310" s="143"/>
      <c r="B310" s="140"/>
      <c r="C310" s="141"/>
      <c r="D310" s="142"/>
      <c r="E310" s="142"/>
      <c r="F310" s="143"/>
      <c r="G310" s="150"/>
      <c r="H310" s="150"/>
      <c r="I310" s="143"/>
      <c r="J310" s="143"/>
      <c r="K310" s="143"/>
      <c r="L310" s="143"/>
      <c r="M310" s="143"/>
      <c r="N310" s="143"/>
      <c r="O310" s="143"/>
      <c r="P310" s="143"/>
      <c r="Q310" s="143"/>
      <c r="R310" s="143"/>
      <c r="S310" s="143"/>
      <c r="T310" s="143"/>
      <c r="U310" s="143"/>
      <c r="V310" s="143"/>
      <c r="W310" s="143"/>
      <c r="X310" s="143"/>
      <c r="Y310" s="143"/>
      <c r="Z310" s="143"/>
    </row>
    <row r="311" spans="1:26" ht="18.75">
      <c r="A311" s="143"/>
      <c r="B311" s="140"/>
      <c r="C311" s="141"/>
      <c r="D311" s="142"/>
      <c r="E311" s="142"/>
      <c r="F311" s="143"/>
      <c r="G311" s="152"/>
      <c r="H311" s="152"/>
      <c r="I311" s="143"/>
      <c r="J311" s="143"/>
      <c r="K311" s="143"/>
      <c r="L311" s="143"/>
      <c r="M311" s="143"/>
      <c r="N311" s="143"/>
      <c r="O311" s="143"/>
      <c r="P311" s="143"/>
      <c r="Q311" s="143"/>
      <c r="R311" s="143"/>
      <c r="S311" s="143"/>
      <c r="T311" s="143"/>
      <c r="U311" s="143"/>
      <c r="V311" s="143"/>
      <c r="W311" s="143"/>
      <c r="X311" s="143"/>
      <c r="Y311" s="143"/>
      <c r="Z311" s="143"/>
    </row>
    <row r="312" spans="1:26" ht="18.75">
      <c r="A312" s="143"/>
      <c r="B312" s="140"/>
      <c r="C312" s="141"/>
      <c r="D312" s="142"/>
      <c r="E312" s="142"/>
      <c r="F312" s="143"/>
      <c r="G312" s="150"/>
      <c r="H312" s="150"/>
      <c r="I312" s="143"/>
      <c r="J312" s="143"/>
      <c r="K312" s="143"/>
      <c r="L312" s="143"/>
      <c r="M312" s="143"/>
      <c r="N312" s="143"/>
      <c r="O312" s="143"/>
      <c r="P312" s="143"/>
      <c r="Q312" s="143"/>
      <c r="R312" s="143"/>
      <c r="S312" s="143"/>
      <c r="T312" s="143"/>
      <c r="U312" s="143"/>
      <c r="V312" s="143"/>
      <c r="W312" s="143"/>
      <c r="X312" s="143"/>
      <c r="Y312" s="143"/>
      <c r="Z312" s="143"/>
    </row>
    <row r="313" spans="1:26" ht="18.75">
      <c r="A313" s="143"/>
      <c r="B313" s="140"/>
      <c r="C313" s="141"/>
      <c r="D313" s="142"/>
      <c r="E313" s="142"/>
      <c r="F313" s="143"/>
      <c r="G313" s="152"/>
      <c r="H313" s="152"/>
      <c r="I313" s="143"/>
      <c r="J313" s="143"/>
      <c r="K313" s="143"/>
      <c r="L313" s="143"/>
      <c r="M313" s="143"/>
      <c r="N313" s="143"/>
      <c r="O313" s="143"/>
      <c r="P313" s="143"/>
      <c r="Q313" s="143"/>
      <c r="R313" s="143"/>
      <c r="S313" s="143"/>
      <c r="T313" s="143"/>
      <c r="U313" s="143"/>
      <c r="V313" s="143"/>
      <c r="W313" s="143"/>
      <c r="X313" s="143"/>
      <c r="Y313" s="143"/>
      <c r="Z313" s="143"/>
    </row>
    <row r="314" spans="1:26" ht="18.75">
      <c r="A314" s="143"/>
      <c r="B314" s="140"/>
      <c r="C314" s="141"/>
      <c r="D314" s="142"/>
      <c r="E314" s="142"/>
      <c r="F314" s="143"/>
      <c r="G314" s="150"/>
      <c r="H314" s="150"/>
      <c r="I314" s="143"/>
      <c r="J314" s="143"/>
      <c r="K314" s="143"/>
      <c r="L314" s="143"/>
      <c r="M314" s="143"/>
      <c r="N314" s="143"/>
      <c r="O314" s="143"/>
      <c r="P314" s="143"/>
      <c r="Q314" s="143"/>
      <c r="R314" s="143"/>
      <c r="S314" s="143"/>
      <c r="T314" s="143"/>
      <c r="U314" s="143"/>
      <c r="V314" s="143"/>
      <c r="W314" s="143"/>
      <c r="X314" s="143"/>
      <c r="Y314" s="143"/>
      <c r="Z314" s="143"/>
    </row>
    <row r="315" spans="1:26" ht="18.75">
      <c r="A315" s="143"/>
      <c r="B315" s="140"/>
      <c r="C315" s="141"/>
      <c r="D315" s="142"/>
      <c r="E315" s="142"/>
      <c r="F315" s="143"/>
      <c r="G315" s="152"/>
      <c r="H315" s="152"/>
      <c r="I315" s="143"/>
      <c r="J315" s="143"/>
      <c r="K315" s="143"/>
      <c r="L315" s="143"/>
      <c r="M315" s="143"/>
      <c r="N315" s="143"/>
      <c r="O315" s="143"/>
      <c r="P315" s="143"/>
      <c r="Q315" s="143"/>
      <c r="R315" s="143"/>
      <c r="S315" s="143"/>
      <c r="T315" s="143"/>
      <c r="U315" s="143"/>
      <c r="V315" s="143"/>
      <c r="W315" s="143"/>
      <c r="X315" s="143"/>
      <c r="Y315" s="143"/>
      <c r="Z315" s="143"/>
    </row>
    <row r="316" spans="1:26" ht="18.75">
      <c r="A316" s="143"/>
      <c r="B316" s="140"/>
      <c r="C316" s="141"/>
      <c r="D316" s="142"/>
      <c r="E316" s="142"/>
      <c r="F316" s="143"/>
      <c r="G316" s="150"/>
      <c r="H316" s="150"/>
      <c r="I316" s="143"/>
      <c r="J316" s="143"/>
      <c r="K316" s="143"/>
      <c r="L316" s="143"/>
      <c r="M316" s="143"/>
      <c r="N316" s="143"/>
      <c r="O316" s="143"/>
      <c r="P316" s="143"/>
      <c r="Q316" s="143"/>
      <c r="R316" s="143"/>
      <c r="S316" s="143"/>
      <c r="T316" s="143"/>
      <c r="U316" s="143"/>
      <c r="V316" s="143"/>
      <c r="W316" s="143"/>
      <c r="X316" s="143"/>
      <c r="Y316" s="143"/>
      <c r="Z316" s="143"/>
    </row>
    <row r="317" spans="1:26" ht="18.75">
      <c r="A317" s="143"/>
      <c r="B317" s="140"/>
      <c r="C317" s="141"/>
      <c r="D317" s="142"/>
      <c r="E317" s="142"/>
      <c r="F317" s="143"/>
      <c r="G317" s="152"/>
      <c r="H317" s="152"/>
      <c r="I317" s="143"/>
      <c r="J317" s="143"/>
      <c r="K317" s="143"/>
      <c r="L317" s="143"/>
      <c r="M317" s="143"/>
      <c r="N317" s="143"/>
      <c r="O317" s="143"/>
      <c r="P317" s="143"/>
      <c r="Q317" s="143"/>
      <c r="R317" s="143"/>
      <c r="S317" s="143"/>
      <c r="T317" s="143"/>
      <c r="U317" s="143"/>
      <c r="V317" s="143"/>
      <c r="W317" s="143"/>
      <c r="X317" s="143"/>
      <c r="Y317" s="143"/>
      <c r="Z317" s="143"/>
    </row>
    <row r="318" spans="1:26" ht="18.75">
      <c r="A318" s="143"/>
      <c r="B318" s="140"/>
      <c r="C318" s="141"/>
      <c r="D318" s="142"/>
      <c r="E318" s="142"/>
      <c r="F318" s="143"/>
      <c r="G318" s="150"/>
      <c r="H318" s="150"/>
      <c r="I318" s="143"/>
      <c r="J318" s="143"/>
      <c r="K318" s="143"/>
      <c r="L318" s="143"/>
      <c r="M318" s="143"/>
      <c r="N318" s="143"/>
      <c r="O318" s="143"/>
      <c r="P318" s="143"/>
      <c r="Q318" s="143"/>
      <c r="R318" s="143"/>
      <c r="S318" s="143"/>
      <c r="T318" s="143"/>
      <c r="U318" s="143"/>
      <c r="V318" s="143"/>
      <c r="W318" s="143"/>
      <c r="X318" s="143"/>
      <c r="Y318" s="143"/>
      <c r="Z318" s="143"/>
    </row>
    <row r="319" spans="1:26" ht="18.75">
      <c r="A319" s="143"/>
      <c r="B319" s="140"/>
      <c r="C319" s="141"/>
      <c r="D319" s="142"/>
      <c r="E319" s="142"/>
      <c r="F319" s="143"/>
      <c r="G319" s="152"/>
      <c r="H319" s="152"/>
      <c r="I319" s="143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  <c r="T319" s="143"/>
      <c r="U319" s="143"/>
      <c r="V319" s="143"/>
      <c r="W319" s="143"/>
      <c r="X319" s="143"/>
      <c r="Y319" s="143"/>
      <c r="Z319" s="143"/>
    </row>
    <row r="320" spans="1:26" ht="18.75">
      <c r="A320" s="143"/>
      <c r="B320" s="140"/>
      <c r="C320" s="141"/>
      <c r="D320" s="142"/>
      <c r="E320" s="142"/>
      <c r="F320" s="143"/>
      <c r="G320" s="150"/>
      <c r="H320" s="150"/>
      <c r="I320" s="143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143"/>
      <c r="U320" s="143"/>
      <c r="V320" s="143"/>
      <c r="W320" s="143"/>
      <c r="X320" s="143"/>
      <c r="Y320" s="143"/>
      <c r="Z320" s="143"/>
    </row>
    <row r="321" spans="1:26" ht="18.75">
      <c r="A321" s="143"/>
      <c r="B321" s="140"/>
      <c r="C321" s="141"/>
      <c r="D321" s="142"/>
      <c r="E321" s="142"/>
      <c r="F321" s="143"/>
      <c r="G321" s="152"/>
      <c r="H321" s="152"/>
      <c r="I321" s="143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  <c r="T321" s="143"/>
      <c r="U321" s="143"/>
      <c r="V321" s="143"/>
      <c r="W321" s="143"/>
      <c r="X321" s="143"/>
      <c r="Y321" s="143"/>
      <c r="Z321" s="143"/>
    </row>
    <row r="322" spans="1:26" ht="18.75">
      <c r="A322" s="143"/>
      <c r="B322" s="140"/>
      <c r="C322" s="141"/>
      <c r="D322" s="142"/>
      <c r="E322" s="142"/>
      <c r="F322" s="143"/>
      <c r="G322" s="150"/>
      <c r="H322" s="150"/>
      <c r="I322" s="143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143"/>
      <c r="U322" s="143"/>
      <c r="V322" s="143"/>
      <c r="W322" s="143"/>
      <c r="X322" s="143"/>
      <c r="Y322" s="143"/>
      <c r="Z322" s="143"/>
    </row>
    <row r="323" spans="1:26" ht="18.75">
      <c r="A323" s="143"/>
      <c r="B323" s="140"/>
      <c r="C323" s="141"/>
      <c r="D323" s="142"/>
      <c r="E323" s="142"/>
      <c r="F323" s="143"/>
      <c r="G323" s="152"/>
      <c r="H323" s="152"/>
      <c r="I323" s="143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  <c r="T323" s="143"/>
      <c r="U323" s="143"/>
      <c r="V323" s="143"/>
      <c r="W323" s="143"/>
      <c r="X323" s="143"/>
      <c r="Y323" s="143"/>
      <c r="Z323" s="143"/>
    </row>
    <row r="324" spans="1:26" ht="18.75">
      <c r="A324" s="143"/>
      <c r="B324" s="140"/>
      <c r="C324" s="141"/>
      <c r="D324" s="142"/>
      <c r="E324" s="142"/>
      <c r="F324" s="143"/>
      <c r="G324" s="150"/>
      <c r="H324" s="150"/>
      <c r="I324" s="143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43"/>
      <c r="U324" s="143"/>
      <c r="V324" s="143"/>
      <c r="W324" s="143"/>
      <c r="X324" s="143"/>
      <c r="Y324" s="143"/>
      <c r="Z324" s="143"/>
    </row>
    <row r="325" spans="1:26" ht="18.75">
      <c r="A325" s="143"/>
      <c r="B325" s="140"/>
      <c r="C325" s="141"/>
      <c r="D325" s="142"/>
      <c r="E325" s="142"/>
      <c r="F325" s="143"/>
      <c r="G325" s="152"/>
      <c r="H325" s="152"/>
      <c r="I325" s="143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143"/>
      <c r="U325" s="143"/>
      <c r="V325" s="143"/>
      <c r="W325" s="143"/>
      <c r="X325" s="143"/>
      <c r="Y325" s="143"/>
      <c r="Z325" s="143"/>
    </row>
    <row r="326" spans="1:26" ht="18.75">
      <c r="A326" s="143"/>
      <c r="B326" s="140"/>
      <c r="C326" s="141"/>
      <c r="D326" s="142"/>
      <c r="E326" s="142"/>
      <c r="F326" s="143"/>
      <c r="G326" s="150"/>
      <c r="H326" s="150"/>
      <c r="I326" s="143"/>
      <c r="J326" s="143"/>
      <c r="K326" s="143"/>
      <c r="L326" s="143"/>
      <c r="M326" s="143"/>
      <c r="N326" s="143"/>
      <c r="O326" s="143"/>
      <c r="P326" s="143"/>
      <c r="Q326" s="143"/>
      <c r="R326" s="143"/>
      <c r="S326" s="143"/>
      <c r="T326" s="143"/>
      <c r="U326" s="143"/>
      <c r="V326" s="143"/>
      <c r="W326" s="143"/>
      <c r="X326" s="143"/>
      <c r="Y326" s="143"/>
      <c r="Z326" s="143"/>
    </row>
    <row r="327" spans="1:26" ht="18.75">
      <c r="A327" s="143"/>
      <c r="B327" s="140"/>
      <c r="C327" s="141"/>
      <c r="D327" s="142"/>
      <c r="E327" s="142"/>
      <c r="F327" s="143"/>
      <c r="G327" s="152"/>
      <c r="H327" s="152"/>
      <c r="I327" s="143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  <c r="T327" s="143"/>
      <c r="U327" s="143"/>
      <c r="V327" s="143"/>
      <c r="W327" s="143"/>
      <c r="X327" s="143"/>
      <c r="Y327" s="143"/>
      <c r="Z327" s="143"/>
    </row>
    <row r="328" spans="1:26" ht="18.75">
      <c r="A328" s="143"/>
      <c r="B328" s="140"/>
      <c r="C328" s="141"/>
      <c r="D328" s="142"/>
      <c r="E328" s="142"/>
      <c r="F328" s="143"/>
      <c r="G328" s="150"/>
      <c r="H328" s="150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43"/>
      <c r="U328" s="143"/>
      <c r="V328" s="143"/>
      <c r="W328" s="143"/>
      <c r="X328" s="143"/>
      <c r="Y328" s="143"/>
      <c r="Z328" s="143"/>
    </row>
    <row r="329" spans="1:26" ht="18.75">
      <c r="A329" s="143"/>
      <c r="B329" s="140"/>
      <c r="C329" s="141"/>
      <c r="D329" s="142"/>
      <c r="E329" s="142"/>
      <c r="F329" s="143"/>
      <c r="G329" s="152"/>
      <c r="H329" s="152"/>
      <c r="I329" s="143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143"/>
      <c r="U329" s="143"/>
      <c r="V329" s="143"/>
      <c r="W329" s="143"/>
      <c r="X329" s="143"/>
      <c r="Y329" s="143"/>
      <c r="Z329" s="143"/>
    </row>
    <row r="330" spans="1:26" ht="18.75">
      <c r="A330" s="143"/>
      <c r="B330" s="140"/>
      <c r="C330" s="141"/>
      <c r="D330" s="142"/>
      <c r="E330" s="142"/>
      <c r="F330" s="143"/>
      <c r="G330" s="150"/>
      <c r="H330" s="150"/>
      <c r="I330" s="143"/>
      <c r="J330" s="143"/>
      <c r="K330" s="143"/>
      <c r="L330" s="143"/>
      <c r="M330" s="143"/>
      <c r="N330" s="143"/>
      <c r="O330" s="143"/>
      <c r="P330" s="143"/>
      <c r="Q330" s="143"/>
      <c r="R330" s="143"/>
      <c r="S330" s="143"/>
      <c r="T330" s="143"/>
      <c r="U330" s="143"/>
      <c r="V330" s="143"/>
      <c r="W330" s="143"/>
      <c r="X330" s="143"/>
      <c r="Y330" s="143"/>
      <c r="Z330" s="143"/>
    </row>
    <row r="331" spans="1:26" ht="18.75">
      <c r="A331" s="143"/>
      <c r="B331" s="140"/>
      <c r="C331" s="141"/>
      <c r="D331" s="142"/>
      <c r="E331" s="142"/>
      <c r="F331" s="143"/>
      <c r="G331" s="152"/>
      <c r="H331" s="152"/>
      <c r="I331" s="143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  <c r="T331" s="143"/>
      <c r="U331" s="143"/>
      <c r="V331" s="143"/>
      <c r="W331" s="143"/>
      <c r="X331" s="143"/>
      <c r="Y331" s="143"/>
      <c r="Z331" s="143"/>
    </row>
    <row r="332" spans="1:26" ht="18.75">
      <c r="A332" s="143"/>
      <c r="B332" s="140"/>
      <c r="C332" s="141"/>
      <c r="D332" s="142"/>
      <c r="E332" s="142"/>
      <c r="F332" s="143"/>
      <c r="G332" s="150"/>
      <c r="H332" s="150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/>
      <c r="V332" s="143"/>
      <c r="W332" s="143"/>
      <c r="X332" s="143"/>
      <c r="Y332" s="143"/>
      <c r="Z332" s="143"/>
    </row>
    <row r="333" spans="1:26" ht="18.75">
      <c r="A333" s="143"/>
      <c r="B333" s="140"/>
      <c r="C333" s="141"/>
      <c r="D333" s="142"/>
      <c r="E333" s="142"/>
      <c r="F333" s="143"/>
      <c r="G333" s="152"/>
      <c r="H333" s="152"/>
      <c r="I333" s="143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143"/>
      <c r="U333" s="143"/>
      <c r="V333" s="143"/>
      <c r="W333" s="143"/>
      <c r="X333" s="143"/>
      <c r="Y333" s="143"/>
      <c r="Z333" s="143"/>
    </row>
    <row r="334" spans="1:26" ht="18.75">
      <c r="A334" s="143"/>
      <c r="B334" s="140"/>
      <c r="C334" s="141"/>
      <c r="D334" s="142"/>
      <c r="E334" s="142"/>
      <c r="F334" s="143"/>
      <c r="G334" s="150"/>
      <c r="H334" s="150"/>
      <c r="I334" s="143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  <c r="T334" s="143"/>
      <c r="U334" s="143"/>
      <c r="V334" s="143"/>
      <c r="W334" s="143"/>
      <c r="X334" s="143"/>
      <c r="Y334" s="143"/>
      <c r="Z334" s="143"/>
    </row>
    <row r="335" spans="1:26" ht="18.75">
      <c r="A335" s="143"/>
      <c r="B335" s="140"/>
      <c r="C335" s="141"/>
      <c r="D335" s="142"/>
      <c r="E335" s="142"/>
      <c r="F335" s="143"/>
      <c r="G335" s="152"/>
      <c r="H335" s="152"/>
      <c r="I335" s="143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  <c r="T335" s="143"/>
      <c r="U335" s="143"/>
      <c r="V335" s="143"/>
      <c r="W335" s="143"/>
      <c r="X335" s="143"/>
      <c r="Y335" s="143"/>
      <c r="Z335" s="143"/>
    </row>
    <row r="336" spans="1:26" ht="18.75">
      <c r="A336" s="143"/>
      <c r="B336" s="140"/>
      <c r="C336" s="141"/>
      <c r="D336" s="142"/>
      <c r="E336" s="142"/>
      <c r="F336" s="143"/>
      <c r="G336" s="150"/>
      <c r="H336" s="150"/>
      <c r="I336" s="143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  <c r="T336" s="143"/>
      <c r="U336" s="143"/>
      <c r="V336" s="143"/>
      <c r="W336" s="143"/>
      <c r="X336" s="143"/>
      <c r="Y336" s="143"/>
      <c r="Z336" s="143"/>
    </row>
    <row r="337" spans="1:26" ht="18.75">
      <c r="A337" s="143"/>
      <c r="B337" s="140"/>
      <c r="C337" s="141"/>
      <c r="D337" s="142"/>
      <c r="E337" s="142"/>
      <c r="F337" s="143"/>
      <c r="G337" s="152"/>
      <c r="H337" s="152"/>
      <c r="I337" s="143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143"/>
      <c r="U337" s="143"/>
      <c r="V337" s="143"/>
      <c r="W337" s="143"/>
      <c r="X337" s="143"/>
      <c r="Y337" s="143"/>
      <c r="Z337" s="143"/>
    </row>
    <row r="338" spans="1:26" ht="18.75">
      <c r="A338" s="143"/>
      <c r="B338" s="140"/>
      <c r="C338" s="141"/>
      <c r="D338" s="142"/>
      <c r="E338" s="142"/>
      <c r="F338" s="143"/>
      <c r="G338" s="150"/>
      <c r="H338" s="150"/>
      <c r="I338" s="143"/>
      <c r="J338" s="143"/>
      <c r="K338" s="143"/>
      <c r="L338" s="143"/>
      <c r="M338" s="143"/>
      <c r="N338" s="143"/>
      <c r="O338" s="143"/>
      <c r="P338" s="143"/>
      <c r="Q338" s="143"/>
      <c r="R338" s="143"/>
      <c r="S338" s="143"/>
      <c r="T338" s="143"/>
      <c r="U338" s="143"/>
      <c r="V338" s="143"/>
      <c r="W338" s="143"/>
      <c r="X338" s="143"/>
      <c r="Y338" s="143"/>
      <c r="Z338" s="143"/>
    </row>
    <row r="339" spans="1:26" ht="18.75">
      <c r="A339" s="143"/>
      <c r="B339" s="140"/>
      <c r="C339" s="141"/>
      <c r="D339" s="142"/>
      <c r="E339" s="142"/>
      <c r="F339" s="143"/>
      <c r="G339" s="152"/>
      <c r="H339" s="152"/>
      <c r="I339" s="143"/>
      <c r="J339" s="143"/>
      <c r="K339" s="143"/>
      <c r="L339" s="143"/>
      <c r="M339" s="143"/>
      <c r="N339" s="143"/>
      <c r="O339" s="143"/>
      <c r="P339" s="143"/>
      <c r="Q339" s="143"/>
      <c r="R339" s="143"/>
      <c r="S339" s="143"/>
      <c r="T339" s="143"/>
      <c r="U339" s="143"/>
      <c r="V339" s="143"/>
      <c r="W339" s="143"/>
      <c r="X339" s="143"/>
      <c r="Y339" s="143"/>
      <c r="Z339" s="143"/>
    </row>
    <row r="340" spans="1:26" ht="18.75">
      <c r="A340" s="143"/>
      <c r="B340" s="140"/>
      <c r="C340" s="141"/>
      <c r="D340" s="142"/>
      <c r="E340" s="142"/>
      <c r="F340" s="143"/>
      <c r="G340" s="150"/>
      <c r="H340" s="150"/>
      <c r="I340" s="143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  <c r="T340" s="143"/>
      <c r="U340" s="143"/>
      <c r="V340" s="143"/>
      <c r="W340" s="143"/>
      <c r="X340" s="143"/>
      <c r="Y340" s="143"/>
      <c r="Z340" s="143"/>
    </row>
    <row r="341" spans="1:26" ht="18.75">
      <c r="A341" s="143"/>
      <c r="B341" s="140"/>
      <c r="C341" s="141"/>
      <c r="D341" s="142"/>
      <c r="E341" s="142"/>
      <c r="F341" s="143"/>
      <c r="G341" s="152"/>
      <c r="H341" s="152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  <c r="T341" s="143"/>
      <c r="U341" s="143"/>
      <c r="V341" s="143"/>
      <c r="W341" s="143"/>
      <c r="X341" s="143"/>
      <c r="Y341" s="143"/>
      <c r="Z341" s="143"/>
    </row>
    <row r="342" spans="1:26" ht="18.75">
      <c r="A342" s="143"/>
      <c r="B342" s="140"/>
      <c r="C342" s="141"/>
      <c r="D342" s="142"/>
      <c r="E342" s="142"/>
      <c r="F342" s="143"/>
      <c r="G342" s="150"/>
      <c r="H342" s="150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/>
      <c r="V342" s="143"/>
      <c r="W342" s="143"/>
      <c r="X342" s="143"/>
      <c r="Y342" s="143"/>
      <c r="Z342" s="143"/>
    </row>
    <row r="343" spans="1:26" ht="18.75">
      <c r="A343" s="143"/>
      <c r="B343" s="140"/>
      <c r="C343" s="141"/>
      <c r="D343" s="142"/>
      <c r="E343" s="142"/>
      <c r="F343" s="143"/>
      <c r="G343" s="152"/>
      <c r="H343" s="152"/>
      <c r="I343" s="143"/>
      <c r="J343" s="143"/>
      <c r="K343" s="143"/>
      <c r="L343" s="143"/>
      <c r="M343" s="143"/>
      <c r="N343" s="143"/>
      <c r="O343" s="143"/>
      <c r="P343" s="143"/>
      <c r="Q343" s="143"/>
      <c r="R343" s="143"/>
      <c r="S343" s="143"/>
      <c r="T343" s="143"/>
      <c r="U343" s="143"/>
      <c r="V343" s="143"/>
      <c r="W343" s="143"/>
      <c r="X343" s="143"/>
      <c r="Y343" s="143"/>
      <c r="Z343" s="143"/>
    </row>
    <row r="344" spans="1:26" ht="18.75">
      <c r="A344" s="143"/>
      <c r="B344" s="140"/>
      <c r="C344" s="141"/>
      <c r="D344" s="142"/>
      <c r="E344" s="142"/>
      <c r="F344" s="143"/>
      <c r="G344" s="150"/>
      <c r="H344" s="150"/>
      <c r="I344" s="143"/>
      <c r="J344" s="143"/>
      <c r="K344" s="143"/>
      <c r="L344" s="143"/>
      <c r="M344" s="143"/>
      <c r="N344" s="143"/>
      <c r="O344" s="143"/>
      <c r="P344" s="143"/>
      <c r="Q344" s="143"/>
      <c r="R344" s="143"/>
      <c r="S344" s="143"/>
      <c r="T344" s="143"/>
      <c r="U344" s="143"/>
      <c r="V344" s="143"/>
      <c r="W344" s="143"/>
      <c r="X344" s="143"/>
      <c r="Y344" s="143"/>
      <c r="Z344" s="143"/>
    </row>
    <row r="345" spans="1:26" ht="18.75">
      <c r="A345" s="143"/>
      <c r="B345" s="140"/>
      <c r="C345" s="141"/>
      <c r="D345" s="142"/>
      <c r="E345" s="142"/>
      <c r="F345" s="143"/>
      <c r="G345" s="152"/>
      <c r="H345" s="152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  <c r="Z345" s="143"/>
    </row>
    <row r="346" spans="1:26" ht="18.75">
      <c r="A346" s="143"/>
      <c r="B346" s="140"/>
      <c r="C346" s="141"/>
      <c r="D346" s="142"/>
      <c r="E346" s="142"/>
      <c r="F346" s="143"/>
      <c r="G346" s="150"/>
      <c r="H346" s="150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  <c r="Z346" s="143"/>
    </row>
    <row r="347" spans="1:26" ht="18.75">
      <c r="A347" s="143"/>
      <c r="B347" s="140"/>
      <c r="C347" s="141"/>
      <c r="D347" s="142"/>
      <c r="E347" s="142"/>
      <c r="F347" s="143"/>
      <c r="G347" s="152"/>
      <c r="H347" s="152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  <c r="Z347" s="143"/>
    </row>
    <row r="348" spans="1:26" ht="18.75">
      <c r="A348" s="143"/>
      <c r="B348" s="140"/>
      <c r="C348" s="141"/>
      <c r="D348" s="142"/>
      <c r="E348" s="142"/>
      <c r="F348" s="143"/>
      <c r="G348" s="150"/>
      <c r="H348" s="150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  <c r="Z348" s="143"/>
    </row>
    <row r="349" spans="1:26" ht="18.75">
      <c r="A349" s="143"/>
      <c r="B349" s="140"/>
      <c r="C349" s="141"/>
      <c r="D349" s="142"/>
      <c r="E349" s="142"/>
      <c r="F349" s="143"/>
      <c r="G349" s="152"/>
      <c r="H349" s="152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  <c r="Z349" s="143"/>
    </row>
    <row r="350" spans="1:26" ht="18.75">
      <c r="A350" s="143"/>
      <c r="B350" s="140"/>
      <c r="C350" s="141"/>
      <c r="D350" s="142"/>
      <c r="E350" s="142"/>
      <c r="F350" s="143"/>
      <c r="G350" s="150"/>
      <c r="H350" s="150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  <c r="Z350" s="143"/>
    </row>
    <row r="351" spans="1:26" ht="18.75">
      <c r="A351" s="143"/>
      <c r="B351" s="140"/>
      <c r="C351" s="141"/>
      <c r="D351" s="142"/>
      <c r="E351" s="142"/>
      <c r="F351" s="143"/>
      <c r="G351" s="152"/>
      <c r="H351" s="152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  <c r="Z351" s="143"/>
    </row>
    <row r="352" spans="1:26" ht="18.75">
      <c r="A352" s="143"/>
      <c r="B352" s="140"/>
      <c r="C352" s="141"/>
      <c r="D352" s="142"/>
      <c r="E352" s="142"/>
      <c r="F352" s="143"/>
      <c r="G352" s="150"/>
      <c r="H352" s="150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  <c r="Z352" s="143"/>
    </row>
    <row r="353" spans="1:26" ht="18.75">
      <c r="A353" s="143"/>
      <c r="B353" s="140"/>
      <c r="C353" s="141"/>
      <c r="D353" s="142"/>
      <c r="E353" s="142"/>
      <c r="F353" s="143"/>
      <c r="G353" s="152"/>
      <c r="H353" s="152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  <c r="Z353" s="143"/>
    </row>
    <row r="354" spans="1:26" ht="18.75">
      <c r="A354" s="143"/>
      <c r="B354" s="140"/>
      <c r="C354" s="141"/>
      <c r="D354" s="142"/>
      <c r="E354" s="142"/>
      <c r="F354" s="143"/>
      <c r="G354" s="150"/>
      <c r="H354" s="150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  <c r="Z354" s="143"/>
    </row>
    <row r="355" spans="1:26" ht="18.75">
      <c r="A355" s="143"/>
      <c r="B355" s="140"/>
      <c r="C355" s="141"/>
      <c r="D355" s="142"/>
      <c r="E355" s="142"/>
      <c r="F355" s="143"/>
      <c r="G355" s="152"/>
      <c r="H355" s="152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  <c r="Z355" s="143"/>
    </row>
    <row r="356" spans="1:26" ht="18.75">
      <c r="A356" s="143"/>
      <c r="B356" s="140"/>
      <c r="C356" s="141"/>
      <c r="D356" s="142"/>
      <c r="E356" s="142"/>
      <c r="F356" s="143"/>
      <c r="G356" s="150"/>
      <c r="H356" s="150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  <c r="Z356" s="143"/>
    </row>
    <row r="357" spans="1:26" ht="18.75">
      <c r="A357" s="143"/>
      <c r="B357" s="140"/>
      <c r="C357" s="141"/>
      <c r="D357" s="142"/>
      <c r="E357" s="142"/>
      <c r="F357" s="143"/>
      <c r="G357" s="152"/>
      <c r="H357" s="152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  <c r="Z357" s="143"/>
    </row>
    <row r="358" spans="1:26" ht="18.75">
      <c r="A358" s="143"/>
      <c r="B358" s="140"/>
      <c r="C358" s="141"/>
      <c r="D358" s="142"/>
      <c r="E358" s="142"/>
      <c r="F358" s="143"/>
      <c r="G358" s="150"/>
      <c r="H358" s="150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  <c r="Z358" s="143"/>
    </row>
    <row r="359" spans="1:26" ht="18.75">
      <c r="A359" s="143"/>
      <c r="B359" s="140"/>
      <c r="C359" s="141"/>
      <c r="D359" s="142"/>
      <c r="E359" s="142"/>
      <c r="F359" s="143"/>
      <c r="G359" s="152"/>
      <c r="H359" s="152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  <c r="Z359" s="143"/>
    </row>
    <row r="360" spans="1:26" ht="18.75">
      <c r="A360" s="143"/>
      <c r="B360" s="140"/>
      <c r="C360" s="141"/>
      <c r="D360" s="142"/>
      <c r="E360" s="142"/>
      <c r="F360" s="143"/>
      <c r="G360" s="150"/>
      <c r="H360" s="150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  <c r="Z360" s="143"/>
    </row>
    <row r="361" spans="1:26" ht="18.75">
      <c r="A361" s="143"/>
      <c r="B361" s="140"/>
      <c r="C361" s="141"/>
      <c r="D361" s="142"/>
      <c r="E361" s="142"/>
      <c r="F361" s="143"/>
      <c r="G361" s="152"/>
      <c r="H361" s="152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  <c r="Z361" s="143"/>
    </row>
    <row r="362" spans="1:26" ht="18.75">
      <c r="A362" s="143"/>
      <c r="B362" s="140"/>
      <c r="C362" s="141"/>
      <c r="D362" s="142"/>
      <c r="E362" s="142"/>
      <c r="F362" s="143"/>
      <c r="G362" s="150"/>
      <c r="H362" s="150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  <c r="Z362" s="143"/>
    </row>
    <row r="363" spans="1:26" ht="18.75">
      <c r="A363" s="143"/>
      <c r="B363" s="140"/>
      <c r="C363" s="141"/>
      <c r="D363" s="142"/>
      <c r="E363" s="142"/>
      <c r="F363" s="143"/>
      <c r="G363" s="152"/>
      <c r="H363" s="152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  <c r="Z363" s="143"/>
    </row>
    <row r="364" spans="1:26" ht="18.75">
      <c r="A364" s="143"/>
      <c r="B364" s="140"/>
      <c r="C364" s="141"/>
      <c r="D364" s="142"/>
      <c r="E364" s="142"/>
      <c r="F364" s="143"/>
      <c r="G364" s="150"/>
      <c r="H364" s="150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  <c r="Z364" s="143"/>
    </row>
    <row r="365" spans="1:26" ht="18.75">
      <c r="A365" s="143"/>
      <c r="B365" s="140"/>
      <c r="C365" s="141"/>
      <c r="D365" s="142"/>
      <c r="E365" s="142"/>
      <c r="F365" s="143"/>
      <c r="G365" s="152"/>
      <c r="H365" s="152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  <c r="Z365" s="143"/>
    </row>
    <row r="366" spans="1:26" ht="18.75">
      <c r="A366" s="143"/>
      <c r="B366" s="140"/>
      <c r="C366" s="141"/>
      <c r="D366" s="142"/>
      <c r="E366" s="142"/>
      <c r="F366" s="143"/>
      <c r="G366" s="150"/>
      <c r="H366" s="150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  <c r="Z366" s="143"/>
    </row>
    <row r="367" spans="1:26" ht="18.75">
      <c r="A367" s="143"/>
      <c r="B367" s="140"/>
      <c r="C367" s="141"/>
      <c r="D367" s="142"/>
      <c r="E367" s="142"/>
      <c r="F367" s="143"/>
      <c r="G367" s="152"/>
      <c r="H367" s="152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  <c r="Z367" s="143"/>
    </row>
    <row r="368" spans="1:26" ht="18.75">
      <c r="A368" s="143"/>
      <c r="B368" s="140"/>
      <c r="C368" s="141"/>
      <c r="D368" s="142"/>
      <c r="E368" s="142"/>
      <c r="F368" s="143"/>
      <c r="G368" s="150"/>
      <c r="H368" s="150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  <c r="Z368" s="143"/>
    </row>
    <row r="369" spans="1:26" ht="18.75">
      <c r="A369" s="143"/>
      <c r="B369" s="140"/>
      <c r="C369" s="141"/>
      <c r="D369" s="142"/>
      <c r="E369" s="142"/>
      <c r="F369" s="143"/>
      <c r="G369" s="152"/>
      <c r="H369" s="152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  <c r="Z369" s="143"/>
    </row>
    <row r="370" spans="1:26" ht="18.75">
      <c r="A370" s="143"/>
      <c r="B370" s="140"/>
      <c r="C370" s="141"/>
      <c r="D370" s="142"/>
      <c r="E370" s="142"/>
      <c r="F370" s="143"/>
      <c r="G370" s="150"/>
      <c r="H370" s="150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  <c r="Z370" s="143"/>
    </row>
    <row r="371" spans="1:26" ht="18.75">
      <c r="A371" s="143"/>
      <c r="B371" s="140"/>
      <c r="C371" s="141"/>
      <c r="D371" s="142"/>
      <c r="E371" s="142"/>
      <c r="F371" s="143"/>
      <c r="G371" s="152"/>
      <c r="H371" s="152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  <c r="Z371" s="143"/>
    </row>
    <row r="372" spans="1:26" ht="18.75">
      <c r="A372" s="143"/>
      <c r="B372" s="140"/>
      <c r="C372" s="141"/>
      <c r="D372" s="142"/>
      <c r="E372" s="142"/>
      <c r="F372" s="143"/>
      <c r="G372" s="150"/>
      <c r="H372" s="150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  <c r="Z372" s="143"/>
    </row>
    <row r="373" spans="1:26" ht="18.75">
      <c r="A373" s="143"/>
      <c r="B373" s="140"/>
      <c r="C373" s="141"/>
      <c r="D373" s="142"/>
      <c r="E373" s="142"/>
      <c r="F373" s="143"/>
      <c r="G373" s="152"/>
      <c r="H373" s="152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  <c r="Z373" s="143"/>
    </row>
    <row r="374" spans="1:26" ht="18.75">
      <c r="A374" s="143"/>
      <c r="B374" s="140"/>
      <c r="C374" s="141"/>
      <c r="D374" s="142"/>
      <c r="E374" s="142"/>
      <c r="F374" s="143"/>
      <c r="G374" s="150"/>
      <c r="H374" s="150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  <c r="Z374" s="143"/>
    </row>
    <row r="375" spans="1:26" ht="18.75">
      <c r="A375" s="143"/>
      <c r="B375" s="140"/>
      <c r="C375" s="141"/>
      <c r="D375" s="142"/>
      <c r="E375" s="142"/>
      <c r="F375" s="143"/>
      <c r="G375" s="152"/>
      <c r="H375" s="152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  <c r="Z375" s="143"/>
    </row>
    <row r="376" spans="1:26" ht="18.75">
      <c r="A376" s="143"/>
      <c r="B376" s="140"/>
      <c r="C376" s="141"/>
      <c r="D376" s="142"/>
      <c r="E376" s="142"/>
      <c r="F376" s="143"/>
      <c r="G376" s="150"/>
      <c r="H376" s="150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  <c r="Z376" s="143"/>
    </row>
    <row r="377" spans="1:26" ht="18.75">
      <c r="A377" s="143"/>
      <c r="B377" s="140"/>
      <c r="C377" s="141"/>
      <c r="D377" s="142"/>
      <c r="E377" s="142"/>
      <c r="F377" s="143"/>
      <c r="G377" s="152"/>
      <c r="H377" s="152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  <c r="Z377" s="143"/>
    </row>
    <row r="378" spans="1:26" ht="18.75">
      <c r="A378" s="143"/>
      <c r="B378" s="140"/>
      <c r="C378" s="141"/>
      <c r="D378" s="142"/>
      <c r="E378" s="142"/>
      <c r="F378" s="143"/>
      <c r="G378" s="150"/>
      <c r="H378" s="150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  <c r="Z378" s="143"/>
    </row>
    <row r="379" spans="1:26" ht="18.75">
      <c r="A379" s="143"/>
      <c r="B379" s="140"/>
      <c r="C379" s="141"/>
      <c r="D379" s="142"/>
      <c r="E379" s="142"/>
      <c r="F379" s="143"/>
      <c r="G379" s="152"/>
      <c r="H379" s="152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  <c r="Z379" s="143"/>
    </row>
    <row r="380" spans="1:26" ht="18.75">
      <c r="A380" s="143"/>
      <c r="B380" s="140"/>
      <c r="C380" s="141"/>
      <c r="D380" s="142"/>
      <c r="E380" s="142"/>
      <c r="F380" s="143"/>
      <c r="G380" s="150"/>
      <c r="H380" s="150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  <c r="Z380" s="143"/>
    </row>
    <row r="381" spans="1:26" ht="18.75">
      <c r="A381" s="143"/>
      <c r="B381" s="140"/>
      <c r="C381" s="141"/>
      <c r="D381" s="142"/>
      <c r="E381" s="142"/>
      <c r="F381" s="143"/>
      <c r="G381" s="152"/>
      <c r="H381" s="152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  <c r="Z381" s="143"/>
    </row>
    <row r="382" spans="1:26" ht="18.75">
      <c r="A382" s="143"/>
      <c r="B382" s="140"/>
      <c r="C382" s="141"/>
      <c r="D382" s="142"/>
      <c r="E382" s="142"/>
      <c r="F382" s="143"/>
      <c r="G382" s="150"/>
      <c r="H382" s="150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  <c r="Z382" s="143"/>
    </row>
    <row r="383" spans="1:26" ht="18.75">
      <c r="A383" s="143"/>
      <c r="B383" s="140"/>
      <c r="C383" s="141"/>
      <c r="D383" s="142"/>
      <c r="E383" s="142"/>
      <c r="F383" s="143"/>
      <c r="G383" s="152"/>
      <c r="H383" s="152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</row>
    <row r="384" spans="1:26" ht="18.75">
      <c r="A384" s="143"/>
      <c r="B384" s="140"/>
      <c r="C384" s="141"/>
      <c r="D384" s="142"/>
      <c r="E384" s="142"/>
      <c r="F384" s="143"/>
      <c r="G384" s="150"/>
      <c r="H384" s="150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  <c r="Z384" s="143"/>
    </row>
    <row r="385" spans="1:26" ht="18.75">
      <c r="A385" s="143"/>
      <c r="B385" s="140"/>
      <c r="C385" s="141"/>
      <c r="D385" s="142"/>
      <c r="E385" s="142"/>
      <c r="F385" s="143"/>
      <c r="G385" s="152"/>
      <c r="H385" s="152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  <c r="Z385" s="143"/>
    </row>
    <row r="386" spans="1:26" ht="18.75">
      <c r="A386" s="143"/>
      <c r="B386" s="140"/>
      <c r="C386" s="141"/>
      <c r="D386" s="142"/>
      <c r="E386" s="142"/>
      <c r="F386" s="143"/>
      <c r="G386" s="150"/>
      <c r="H386" s="150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  <c r="Z386" s="143"/>
    </row>
    <row r="387" spans="1:26" ht="18.75">
      <c r="A387" s="143"/>
      <c r="B387" s="140"/>
      <c r="C387" s="141"/>
      <c r="D387" s="142"/>
      <c r="E387" s="142"/>
      <c r="F387" s="143"/>
      <c r="G387" s="152"/>
      <c r="H387" s="152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  <c r="Z387" s="143"/>
    </row>
    <row r="388" spans="1:26" ht="18.75">
      <c r="A388" s="143"/>
      <c r="B388" s="140"/>
      <c r="C388" s="141"/>
      <c r="D388" s="142"/>
      <c r="E388" s="142"/>
      <c r="F388" s="143"/>
      <c r="G388" s="150"/>
      <c r="H388" s="150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  <c r="Z388" s="143"/>
    </row>
    <row r="389" spans="1:26" ht="18.75">
      <c r="A389" s="143"/>
      <c r="B389" s="140"/>
      <c r="C389" s="141"/>
      <c r="D389" s="142"/>
      <c r="E389" s="142"/>
      <c r="F389" s="143"/>
      <c r="G389" s="152"/>
      <c r="H389" s="152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  <c r="Z389" s="143"/>
    </row>
    <row r="390" spans="1:26" ht="18.75">
      <c r="A390" s="143"/>
      <c r="B390" s="140"/>
      <c r="C390" s="141"/>
      <c r="D390" s="142"/>
      <c r="E390" s="142"/>
      <c r="F390" s="143"/>
      <c r="G390" s="150"/>
      <c r="H390" s="150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  <c r="Z390" s="143"/>
    </row>
    <row r="391" spans="1:26" ht="18.75">
      <c r="A391" s="143"/>
      <c r="B391" s="140"/>
      <c r="C391" s="141"/>
      <c r="D391" s="142"/>
      <c r="E391" s="142"/>
      <c r="F391" s="143"/>
      <c r="G391" s="152"/>
      <c r="H391" s="152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  <c r="Z391" s="143"/>
    </row>
    <row r="392" spans="1:26" ht="18.75">
      <c r="A392" s="143"/>
      <c r="B392" s="140"/>
      <c r="C392" s="141"/>
      <c r="D392" s="142"/>
      <c r="E392" s="142"/>
      <c r="F392" s="143"/>
      <c r="G392" s="150"/>
      <c r="H392" s="150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  <c r="Z392" s="143"/>
    </row>
    <row r="393" spans="1:26" ht="18.75">
      <c r="A393" s="143"/>
      <c r="B393" s="140"/>
      <c r="C393" s="141"/>
      <c r="D393" s="142"/>
      <c r="E393" s="142"/>
      <c r="F393" s="143"/>
      <c r="G393" s="152"/>
      <c r="H393" s="152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  <c r="Z393" s="143"/>
    </row>
    <row r="394" spans="1:26" ht="18.75">
      <c r="A394" s="143"/>
      <c r="B394" s="140"/>
      <c r="C394" s="141"/>
      <c r="D394" s="142"/>
      <c r="E394" s="142"/>
      <c r="F394" s="143"/>
      <c r="G394" s="150"/>
      <c r="H394" s="150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  <c r="Z394" s="143"/>
    </row>
    <row r="395" spans="1:26" ht="18.75">
      <c r="A395" s="143"/>
      <c r="B395" s="140"/>
      <c r="C395" s="141"/>
      <c r="D395" s="142"/>
      <c r="E395" s="142"/>
      <c r="F395" s="143"/>
      <c r="G395" s="152"/>
      <c r="H395" s="152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  <c r="Z395" s="143"/>
    </row>
    <row r="396" spans="1:26" ht="18.75">
      <c r="A396" s="143"/>
      <c r="B396" s="140"/>
      <c r="C396" s="141"/>
      <c r="D396" s="142"/>
      <c r="E396" s="142"/>
      <c r="F396" s="143"/>
      <c r="G396" s="150"/>
      <c r="H396" s="150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  <c r="Z396" s="143"/>
    </row>
    <row r="397" spans="1:26" ht="18.75">
      <c r="A397" s="143"/>
      <c r="B397" s="140"/>
      <c r="C397" s="141"/>
      <c r="D397" s="142"/>
      <c r="E397" s="142"/>
      <c r="F397" s="143"/>
      <c r="G397" s="152"/>
      <c r="H397" s="152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  <c r="Z397" s="143"/>
    </row>
    <row r="398" spans="1:26" ht="18.75">
      <c r="A398" s="143"/>
      <c r="B398" s="140"/>
      <c r="C398" s="141"/>
      <c r="D398" s="142"/>
      <c r="E398" s="142"/>
      <c r="F398" s="143"/>
      <c r="G398" s="150"/>
      <c r="H398" s="150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  <c r="Z398" s="143"/>
    </row>
    <row r="399" spans="1:26" ht="18.75">
      <c r="A399" s="143"/>
      <c r="B399" s="140"/>
      <c r="C399" s="141"/>
      <c r="D399" s="142"/>
      <c r="E399" s="142"/>
      <c r="F399" s="143"/>
      <c r="G399" s="152"/>
      <c r="H399" s="152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  <c r="Z399" s="143"/>
    </row>
    <row r="400" spans="1:26" ht="18.75">
      <c r="A400" s="143"/>
      <c r="B400" s="140"/>
      <c r="C400" s="141"/>
      <c r="D400" s="142"/>
      <c r="E400" s="142"/>
      <c r="F400" s="143"/>
      <c r="G400" s="150"/>
      <c r="H400" s="150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  <c r="Z400" s="143"/>
    </row>
    <row r="401" spans="1:26" ht="18.75">
      <c r="A401" s="143"/>
      <c r="B401" s="140"/>
      <c r="C401" s="141"/>
      <c r="D401" s="142"/>
      <c r="E401" s="142"/>
      <c r="F401" s="143"/>
      <c r="G401" s="152"/>
      <c r="H401" s="152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  <c r="Z401" s="143"/>
    </row>
    <row r="402" spans="1:26" ht="18.75">
      <c r="A402" s="143"/>
      <c r="B402" s="140"/>
      <c r="C402" s="141"/>
      <c r="D402" s="142"/>
      <c r="E402" s="142"/>
      <c r="F402" s="143"/>
      <c r="G402" s="150"/>
      <c r="H402" s="150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  <c r="Z402" s="143"/>
    </row>
    <row r="403" spans="1:26" ht="18.75">
      <c r="A403" s="143"/>
      <c r="B403" s="140"/>
      <c r="C403" s="141"/>
      <c r="D403" s="142"/>
      <c r="E403" s="142"/>
      <c r="F403" s="143"/>
      <c r="G403" s="152"/>
      <c r="H403" s="152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  <c r="Z403" s="143"/>
    </row>
    <row r="404" spans="1:26" ht="18.75">
      <c r="A404" s="143"/>
      <c r="B404" s="140"/>
      <c r="C404" s="141"/>
      <c r="D404" s="142"/>
      <c r="E404" s="142"/>
      <c r="F404" s="143"/>
      <c r="G404" s="150"/>
      <c r="H404" s="150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  <c r="Z404" s="143"/>
    </row>
    <row r="405" spans="1:26" ht="18.75">
      <c r="A405" s="143"/>
      <c r="B405" s="140"/>
      <c r="C405" s="141"/>
      <c r="D405" s="142"/>
      <c r="E405" s="142"/>
      <c r="F405" s="143"/>
      <c r="G405" s="152"/>
      <c r="H405" s="152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  <c r="Z405" s="143"/>
    </row>
    <row r="406" spans="1:26" ht="18.75">
      <c r="A406" s="143"/>
      <c r="B406" s="140"/>
      <c r="C406" s="141"/>
      <c r="D406" s="142"/>
      <c r="E406" s="142"/>
      <c r="F406" s="143"/>
      <c r="G406" s="150"/>
      <c r="H406" s="150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  <c r="Z406" s="143"/>
    </row>
    <row r="407" spans="1:26" ht="18.75">
      <c r="A407" s="143"/>
      <c r="B407" s="140"/>
      <c r="C407" s="141"/>
      <c r="D407" s="142"/>
      <c r="E407" s="142"/>
      <c r="F407" s="143"/>
      <c r="G407" s="152"/>
      <c r="H407" s="152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  <c r="Z407" s="143"/>
    </row>
    <row r="408" spans="1:26" ht="18.75">
      <c r="A408" s="143"/>
      <c r="B408" s="140"/>
      <c r="C408" s="141"/>
      <c r="D408" s="142"/>
      <c r="E408" s="142"/>
      <c r="F408" s="143"/>
      <c r="G408" s="150"/>
      <c r="H408" s="150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</row>
    <row r="409" spans="1:26" ht="18.75">
      <c r="A409" s="143"/>
      <c r="B409" s="140"/>
      <c r="C409" s="141"/>
      <c r="D409" s="142"/>
      <c r="E409" s="142"/>
      <c r="F409" s="143"/>
      <c r="G409" s="152"/>
      <c r="H409" s="152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  <c r="Z409" s="143"/>
    </row>
    <row r="410" spans="1:26" ht="18.75">
      <c r="A410" s="143"/>
      <c r="B410" s="140"/>
      <c r="C410" s="141"/>
      <c r="D410" s="142"/>
      <c r="E410" s="142"/>
      <c r="F410" s="143"/>
      <c r="G410" s="150"/>
      <c r="H410" s="150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</row>
    <row r="411" spans="1:26" ht="18.75">
      <c r="A411" s="143"/>
      <c r="B411" s="140"/>
      <c r="C411" s="141"/>
      <c r="D411" s="142"/>
      <c r="E411" s="142"/>
      <c r="F411" s="143"/>
      <c r="G411" s="152"/>
      <c r="H411" s="152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  <c r="Z411" s="143"/>
    </row>
    <row r="412" spans="1:26" ht="18.75">
      <c r="A412" s="143"/>
      <c r="B412" s="140"/>
      <c r="C412" s="141"/>
      <c r="D412" s="142"/>
      <c r="E412" s="142"/>
      <c r="F412" s="143"/>
      <c r="G412" s="150"/>
      <c r="H412" s="150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  <c r="Z412" s="143"/>
    </row>
    <row r="413" spans="1:26" ht="18.75">
      <c r="A413" s="143"/>
      <c r="B413" s="140"/>
      <c r="C413" s="141"/>
      <c r="D413" s="142"/>
      <c r="E413" s="142"/>
      <c r="F413" s="143"/>
      <c r="G413" s="152"/>
      <c r="H413" s="152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  <c r="Z413" s="143"/>
    </row>
    <row r="414" spans="1:26" ht="18.75">
      <c r="A414" s="143"/>
      <c r="B414" s="140"/>
      <c r="C414" s="141"/>
      <c r="D414" s="142"/>
      <c r="E414" s="142"/>
      <c r="F414" s="143"/>
      <c r="G414" s="150"/>
      <c r="H414" s="150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  <c r="Z414" s="143"/>
    </row>
    <row r="415" spans="1:26" ht="18.75">
      <c r="A415" s="143"/>
      <c r="B415" s="140"/>
      <c r="C415" s="141"/>
      <c r="D415" s="142"/>
      <c r="E415" s="142"/>
      <c r="F415" s="143"/>
      <c r="G415" s="152"/>
      <c r="H415" s="152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  <c r="Z415" s="143"/>
    </row>
    <row r="416" spans="1:26" ht="18.75">
      <c r="A416" s="143"/>
      <c r="B416" s="140"/>
      <c r="C416" s="141"/>
      <c r="D416" s="142"/>
      <c r="E416" s="142"/>
      <c r="F416" s="143"/>
      <c r="G416" s="150"/>
      <c r="H416" s="150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  <c r="Z416" s="143"/>
    </row>
    <row r="417" spans="1:26" ht="18.75">
      <c r="A417" s="143"/>
      <c r="B417" s="140"/>
      <c r="C417" s="141"/>
      <c r="D417" s="142"/>
      <c r="E417" s="142"/>
      <c r="F417" s="143"/>
      <c r="G417" s="152"/>
      <c r="H417" s="152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  <c r="Z417" s="143"/>
    </row>
    <row r="418" spans="1:26" ht="18.75">
      <c r="A418" s="143"/>
      <c r="B418" s="140"/>
      <c r="C418" s="141"/>
      <c r="D418" s="142"/>
      <c r="E418" s="142"/>
      <c r="F418" s="143"/>
      <c r="G418" s="150"/>
      <c r="H418" s="150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  <c r="Z418" s="143"/>
    </row>
    <row r="419" spans="1:26" ht="18.75">
      <c r="A419" s="143"/>
      <c r="B419" s="140"/>
      <c r="C419" s="141"/>
      <c r="D419" s="142"/>
      <c r="E419" s="142"/>
      <c r="F419" s="143"/>
      <c r="G419" s="152"/>
      <c r="H419" s="152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  <c r="Z419" s="143"/>
    </row>
    <row r="420" spans="1:26" ht="18.75">
      <c r="A420" s="143"/>
      <c r="B420" s="140"/>
      <c r="C420" s="141"/>
      <c r="D420" s="142"/>
      <c r="E420" s="142"/>
      <c r="F420" s="143"/>
      <c r="G420" s="150"/>
      <c r="H420" s="150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3"/>
      <c r="Z420" s="143"/>
    </row>
    <row r="421" spans="1:26" ht="18.75">
      <c r="A421" s="143"/>
      <c r="B421" s="140"/>
      <c r="C421" s="141"/>
      <c r="D421" s="142"/>
      <c r="E421" s="142"/>
      <c r="F421" s="143"/>
      <c r="G421" s="152"/>
      <c r="H421" s="152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3"/>
      <c r="Z421" s="143"/>
    </row>
    <row r="422" spans="1:26" ht="18.75">
      <c r="A422" s="143"/>
      <c r="B422" s="140"/>
      <c r="C422" s="141"/>
      <c r="D422" s="142"/>
      <c r="E422" s="142"/>
      <c r="F422" s="143"/>
      <c r="G422" s="150"/>
      <c r="H422" s="150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  <c r="Z422" s="143"/>
    </row>
    <row r="423" spans="1:26" ht="18.75">
      <c r="A423" s="143"/>
      <c r="B423" s="140"/>
      <c r="C423" s="141"/>
      <c r="D423" s="142"/>
      <c r="E423" s="142"/>
      <c r="F423" s="143"/>
      <c r="G423" s="152"/>
      <c r="H423" s="152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3"/>
      <c r="Z423" s="143"/>
    </row>
    <row r="424" spans="1:26" ht="18.75">
      <c r="A424" s="143"/>
      <c r="B424" s="140"/>
      <c r="C424" s="141"/>
      <c r="D424" s="142"/>
      <c r="E424" s="142"/>
      <c r="F424" s="143"/>
      <c r="G424" s="150"/>
      <c r="H424" s="150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3"/>
      <c r="Z424" s="143"/>
    </row>
    <row r="425" spans="1:26" ht="18.75">
      <c r="A425" s="143"/>
      <c r="B425" s="140"/>
      <c r="C425" s="141"/>
      <c r="D425" s="142"/>
      <c r="E425" s="142"/>
      <c r="F425" s="143"/>
      <c r="G425" s="152"/>
      <c r="H425" s="152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  <c r="Y425" s="143"/>
      <c r="Z425" s="143"/>
    </row>
    <row r="426" spans="1:26" ht="18.75">
      <c r="A426" s="143"/>
      <c r="B426" s="140"/>
      <c r="C426" s="141"/>
      <c r="D426" s="142"/>
      <c r="E426" s="142"/>
      <c r="F426" s="143"/>
      <c r="G426" s="150"/>
      <c r="H426" s="150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  <c r="Z426" s="143"/>
    </row>
    <row r="427" spans="1:26" ht="18.75">
      <c r="A427" s="143"/>
      <c r="B427" s="140"/>
      <c r="C427" s="141"/>
      <c r="D427" s="142"/>
      <c r="E427" s="142"/>
      <c r="F427" s="143"/>
      <c r="G427" s="152"/>
      <c r="H427" s="152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  <c r="Z427" s="143"/>
    </row>
    <row r="428" spans="1:26" ht="18.75">
      <c r="A428" s="143"/>
      <c r="B428" s="140"/>
      <c r="C428" s="141"/>
      <c r="D428" s="142"/>
      <c r="E428" s="142"/>
      <c r="F428" s="143"/>
      <c r="G428" s="150"/>
      <c r="H428" s="150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  <c r="Z428" s="143"/>
    </row>
    <row r="429" spans="1:26" ht="18.75">
      <c r="A429" s="143"/>
      <c r="B429" s="140"/>
      <c r="C429" s="141"/>
      <c r="D429" s="142"/>
      <c r="E429" s="142"/>
      <c r="F429" s="143"/>
      <c r="G429" s="152"/>
      <c r="H429" s="152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  <c r="Z429" s="143"/>
    </row>
    <row r="430" spans="1:26" ht="18.75">
      <c r="A430" s="143"/>
      <c r="B430" s="140"/>
      <c r="C430" s="141"/>
      <c r="D430" s="142"/>
      <c r="E430" s="142"/>
      <c r="F430" s="143"/>
      <c r="G430" s="150"/>
      <c r="H430" s="150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  <c r="Z430" s="143"/>
    </row>
    <row r="431" spans="1:26" ht="18.75">
      <c r="A431" s="143"/>
      <c r="B431" s="140"/>
      <c r="C431" s="141"/>
      <c r="D431" s="142"/>
      <c r="E431" s="142"/>
      <c r="F431" s="143"/>
      <c r="G431" s="152"/>
      <c r="H431" s="152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  <c r="Z431" s="143"/>
    </row>
    <row r="432" spans="1:26" ht="18.75">
      <c r="A432" s="143"/>
      <c r="B432" s="140"/>
      <c r="C432" s="141"/>
      <c r="D432" s="142"/>
      <c r="E432" s="142"/>
      <c r="F432" s="143"/>
      <c r="G432" s="150"/>
      <c r="H432" s="150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  <c r="Y432" s="143"/>
      <c r="Z432" s="143"/>
    </row>
    <row r="433" spans="1:26" ht="18.75">
      <c r="A433" s="143"/>
      <c r="B433" s="140"/>
      <c r="C433" s="141"/>
      <c r="D433" s="142"/>
      <c r="E433" s="142"/>
      <c r="F433" s="143"/>
      <c r="G433" s="152"/>
      <c r="H433" s="152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  <c r="Z433" s="143"/>
    </row>
    <row r="434" spans="1:26" ht="18.75">
      <c r="A434" s="143"/>
      <c r="B434" s="140"/>
      <c r="C434" s="141"/>
      <c r="D434" s="142"/>
      <c r="E434" s="142"/>
      <c r="F434" s="143"/>
      <c r="G434" s="150"/>
      <c r="H434" s="150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  <c r="Y434" s="143"/>
      <c r="Z434" s="143"/>
    </row>
    <row r="435" spans="1:26" ht="18.75">
      <c r="A435" s="143"/>
      <c r="B435" s="140"/>
      <c r="C435" s="141"/>
      <c r="D435" s="142"/>
      <c r="E435" s="142"/>
      <c r="F435" s="143"/>
      <c r="G435" s="152"/>
      <c r="H435" s="152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  <c r="Y435" s="143"/>
      <c r="Z435" s="143"/>
    </row>
    <row r="436" spans="1:26" ht="18.75">
      <c r="A436" s="143"/>
      <c r="B436" s="140"/>
      <c r="C436" s="141"/>
      <c r="D436" s="142"/>
      <c r="E436" s="142"/>
      <c r="F436" s="143"/>
      <c r="G436" s="150"/>
      <c r="H436" s="150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  <c r="W436" s="143"/>
      <c r="X436" s="143"/>
      <c r="Y436" s="143"/>
      <c r="Z436" s="143"/>
    </row>
    <row r="437" spans="1:26" ht="18.75">
      <c r="A437" s="143"/>
      <c r="B437" s="140"/>
      <c r="C437" s="141"/>
      <c r="D437" s="142"/>
      <c r="E437" s="142"/>
      <c r="F437" s="143"/>
      <c r="G437" s="152"/>
      <c r="H437" s="152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  <c r="T437" s="143"/>
      <c r="U437" s="143"/>
      <c r="V437" s="143"/>
      <c r="W437" s="143"/>
      <c r="X437" s="143"/>
      <c r="Y437" s="143"/>
      <c r="Z437" s="143"/>
    </row>
    <row r="438" spans="1:26" ht="18.75">
      <c r="A438" s="143"/>
      <c r="B438" s="140"/>
      <c r="C438" s="141"/>
      <c r="D438" s="142"/>
      <c r="E438" s="142"/>
      <c r="F438" s="143"/>
      <c r="G438" s="150"/>
      <c r="H438" s="150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  <c r="T438" s="143"/>
      <c r="U438" s="143"/>
      <c r="V438" s="143"/>
      <c r="W438" s="143"/>
      <c r="X438" s="143"/>
      <c r="Y438" s="143"/>
      <c r="Z438" s="143"/>
    </row>
    <row r="439" spans="1:26" ht="18.75">
      <c r="A439" s="143"/>
      <c r="B439" s="140"/>
      <c r="C439" s="141"/>
      <c r="D439" s="142"/>
      <c r="E439" s="142"/>
      <c r="F439" s="143"/>
      <c r="G439" s="152"/>
      <c r="H439" s="152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  <c r="T439" s="143"/>
      <c r="U439" s="143"/>
      <c r="V439" s="143"/>
      <c r="W439" s="143"/>
      <c r="X439" s="143"/>
      <c r="Y439" s="143"/>
      <c r="Z439" s="143"/>
    </row>
    <row r="440" spans="1:26" ht="18.75">
      <c r="A440" s="143"/>
      <c r="B440" s="140"/>
      <c r="C440" s="141"/>
      <c r="D440" s="142"/>
      <c r="E440" s="142"/>
      <c r="F440" s="143"/>
      <c r="G440" s="150"/>
      <c r="H440" s="150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  <c r="T440" s="143"/>
      <c r="U440" s="143"/>
      <c r="V440" s="143"/>
      <c r="W440" s="143"/>
      <c r="X440" s="143"/>
      <c r="Y440" s="143"/>
      <c r="Z440" s="143"/>
    </row>
    <row r="441" spans="1:26" ht="18.75">
      <c r="A441" s="143"/>
      <c r="B441" s="140"/>
      <c r="C441" s="141"/>
      <c r="D441" s="142"/>
      <c r="E441" s="142"/>
      <c r="F441" s="143"/>
      <c r="G441" s="152"/>
      <c r="H441" s="152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  <c r="W441" s="143"/>
      <c r="X441" s="143"/>
      <c r="Y441" s="143"/>
      <c r="Z441" s="143"/>
    </row>
    <row r="442" spans="1:26" ht="18.75">
      <c r="A442" s="143"/>
      <c r="B442" s="140"/>
      <c r="C442" s="141"/>
      <c r="D442" s="142"/>
      <c r="E442" s="142"/>
      <c r="F442" s="143"/>
      <c r="G442" s="150"/>
      <c r="H442" s="150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  <c r="T442" s="143"/>
      <c r="U442" s="143"/>
      <c r="V442" s="143"/>
      <c r="W442" s="143"/>
      <c r="X442" s="143"/>
      <c r="Y442" s="143"/>
      <c r="Z442" s="143"/>
    </row>
    <row r="443" spans="1:26" ht="18.75">
      <c r="A443" s="143"/>
      <c r="B443" s="140"/>
      <c r="C443" s="141"/>
      <c r="D443" s="142"/>
      <c r="E443" s="142"/>
      <c r="F443" s="143"/>
      <c r="G443" s="152"/>
      <c r="H443" s="152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  <c r="T443" s="143"/>
      <c r="U443" s="143"/>
      <c r="V443" s="143"/>
      <c r="W443" s="143"/>
      <c r="X443" s="143"/>
      <c r="Y443" s="143"/>
      <c r="Z443" s="143"/>
    </row>
    <row r="444" spans="1:26" ht="18.75">
      <c r="A444" s="143"/>
      <c r="B444" s="140"/>
      <c r="C444" s="141"/>
      <c r="D444" s="142"/>
      <c r="E444" s="142"/>
      <c r="F444" s="143"/>
      <c r="G444" s="150"/>
      <c r="H444" s="150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  <c r="W444" s="143"/>
      <c r="X444" s="143"/>
      <c r="Y444" s="143"/>
      <c r="Z444" s="143"/>
    </row>
    <row r="445" spans="1:26" ht="18.75">
      <c r="A445" s="143"/>
      <c r="B445" s="140"/>
      <c r="C445" s="141"/>
      <c r="D445" s="142"/>
      <c r="E445" s="142"/>
      <c r="F445" s="143"/>
      <c r="G445" s="152"/>
      <c r="H445" s="152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  <c r="W445" s="143"/>
      <c r="X445" s="143"/>
      <c r="Y445" s="143"/>
      <c r="Z445" s="143"/>
    </row>
    <row r="446" spans="1:26" ht="18.75">
      <c r="A446" s="143"/>
      <c r="B446" s="140"/>
      <c r="C446" s="141"/>
      <c r="D446" s="142"/>
      <c r="E446" s="142"/>
      <c r="F446" s="143"/>
      <c r="G446" s="150"/>
      <c r="H446" s="150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  <c r="T446" s="143"/>
      <c r="U446" s="143"/>
      <c r="V446" s="143"/>
      <c r="W446" s="143"/>
      <c r="X446" s="143"/>
      <c r="Y446" s="143"/>
      <c r="Z446" s="143"/>
    </row>
    <row r="447" spans="1:26" ht="18.75">
      <c r="A447" s="143"/>
      <c r="B447" s="140"/>
      <c r="C447" s="141"/>
      <c r="D447" s="142"/>
      <c r="E447" s="142"/>
      <c r="F447" s="143"/>
      <c r="G447" s="152"/>
      <c r="H447" s="152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  <c r="T447" s="143"/>
      <c r="U447" s="143"/>
      <c r="V447" s="143"/>
      <c r="W447" s="143"/>
      <c r="X447" s="143"/>
      <c r="Y447" s="143"/>
      <c r="Z447" s="143"/>
    </row>
    <row r="448" spans="1:26" ht="18.75">
      <c r="A448" s="143"/>
      <c r="B448" s="140"/>
      <c r="C448" s="141"/>
      <c r="D448" s="142"/>
      <c r="E448" s="142"/>
      <c r="F448" s="143"/>
      <c r="G448" s="150"/>
      <c r="H448" s="150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  <c r="T448" s="143"/>
      <c r="U448" s="143"/>
      <c r="V448" s="143"/>
      <c r="W448" s="143"/>
      <c r="X448" s="143"/>
      <c r="Y448" s="143"/>
      <c r="Z448" s="143"/>
    </row>
    <row r="449" spans="1:26" ht="18.75">
      <c r="A449" s="143"/>
      <c r="B449" s="140"/>
      <c r="C449" s="141"/>
      <c r="D449" s="142"/>
      <c r="E449" s="142"/>
      <c r="F449" s="143"/>
      <c r="G449" s="152"/>
      <c r="H449" s="152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  <c r="W449" s="143"/>
      <c r="X449" s="143"/>
      <c r="Y449" s="143"/>
      <c r="Z449" s="143"/>
    </row>
    <row r="450" spans="1:26" ht="18.75">
      <c r="A450" s="143"/>
      <c r="B450" s="140"/>
      <c r="C450" s="141"/>
      <c r="D450" s="142"/>
      <c r="E450" s="142"/>
      <c r="F450" s="143"/>
      <c r="G450" s="150"/>
      <c r="H450" s="150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  <c r="W450" s="143"/>
      <c r="X450" s="143"/>
      <c r="Y450" s="143"/>
      <c r="Z450" s="143"/>
    </row>
    <row r="451" spans="1:26" ht="18.75">
      <c r="A451" s="143"/>
      <c r="B451" s="140"/>
      <c r="C451" s="141"/>
      <c r="D451" s="142"/>
      <c r="E451" s="142"/>
      <c r="F451" s="143"/>
      <c r="G451" s="152"/>
      <c r="H451" s="152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  <c r="W451" s="143"/>
      <c r="X451" s="143"/>
      <c r="Y451" s="143"/>
      <c r="Z451" s="143"/>
    </row>
    <row r="452" spans="1:26" ht="18.75">
      <c r="A452" s="143"/>
      <c r="B452" s="140"/>
      <c r="C452" s="141"/>
      <c r="D452" s="142"/>
      <c r="E452" s="142"/>
      <c r="F452" s="143"/>
      <c r="G452" s="150"/>
      <c r="H452" s="150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  <c r="W452" s="143"/>
      <c r="X452" s="143"/>
      <c r="Y452" s="143"/>
      <c r="Z452" s="143"/>
    </row>
    <row r="453" spans="1:26" ht="18.75">
      <c r="A453" s="143"/>
      <c r="B453" s="140"/>
      <c r="C453" s="141"/>
      <c r="D453" s="142"/>
      <c r="E453" s="142"/>
      <c r="F453" s="143"/>
      <c r="G453" s="152"/>
      <c r="H453" s="152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  <c r="W453" s="143"/>
      <c r="X453" s="143"/>
      <c r="Y453" s="143"/>
      <c r="Z453" s="143"/>
    </row>
    <row r="454" spans="1:26" ht="18.75">
      <c r="A454" s="143"/>
      <c r="B454" s="140"/>
      <c r="C454" s="141"/>
      <c r="D454" s="142"/>
      <c r="E454" s="142"/>
      <c r="F454" s="143"/>
      <c r="G454" s="150"/>
      <c r="H454" s="150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  <c r="W454" s="143"/>
      <c r="X454" s="143"/>
      <c r="Y454" s="143"/>
      <c r="Z454" s="143"/>
    </row>
    <row r="455" spans="1:26" ht="18.75">
      <c r="A455" s="143"/>
      <c r="B455" s="140"/>
      <c r="C455" s="141"/>
      <c r="D455" s="142"/>
      <c r="E455" s="142"/>
      <c r="F455" s="143"/>
      <c r="G455" s="152"/>
      <c r="H455" s="152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  <c r="W455" s="143"/>
      <c r="X455" s="143"/>
      <c r="Y455" s="143"/>
      <c r="Z455" s="143"/>
    </row>
    <row r="456" spans="1:26" ht="18.75">
      <c r="A456" s="143"/>
      <c r="B456" s="140"/>
      <c r="C456" s="141"/>
      <c r="D456" s="142"/>
      <c r="E456" s="142"/>
      <c r="F456" s="143"/>
      <c r="G456" s="150"/>
      <c r="H456" s="150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  <c r="W456" s="143"/>
      <c r="X456" s="143"/>
      <c r="Y456" s="143"/>
      <c r="Z456" s="143"/>
    </row>
    <row r="457" spans="1:26" ht="18.75">
      <c r="A457" s="143"/>
      <c r="B457" s="140"/>
      <c r="C457" s="141"/>
      <c r="D457" s="142"/>
      <c r="E457" s="142"/>
      <c r="F457" s="143"/>
      <c r="G457" s="152"/>
      <c r="H457" s="152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  <c r="Y457" s="143"/>
      <c r="Z457" s="143"/>
    </row>
    <row r="458" spans="1:26" ht="18.75">
      <c r="A458" s="143"/>
      <c r="B458" s="140"/>
      <c r="C458" s="141"/>
      <c r="D458" s="142"/>
      <c r="E458" s="142"/>
      <c r="F458" s="143"/>
      <c r="G458" s="150"/>
      <c r="H458" s="150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  <c r="W458" s="143"/>
      <c r="X458" s="143"/>
      <c r="Y458" s="143"/>
      <c r="Z458" s="143"/>
    </row>
    <row r="459" spans="1:26" ht="18.75">
      <c r="A459" s="143"/>
      <c r="B459" s="140"/>
      <c r="C459" s="141"/>
      <c r="D459" s="142"/>
      <c r="E459" s="142"/>
      <c r="F459" s="143"/>
      <c r="G459" s="152"/>
      <c r="H459" s="152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  <c r="W459" s="143"/>
      <c r="X459" s="143"/>
      <c r="Y459" s="143"/>
      <c r="Z459" s="143"/>
    </row>
    <row r="460" spans="1:26" ht="18.75">
      <c r="A460" s="143"/>
      <c r="B460" s="140"/>
      <c r="C460" s="141"/>
      <c r="D460" s="142"/>
      <c r="E460" s="142"/>
      <c r="F460" s="143"/>
      <c r="G460" s="150"/>
      <c r="H460" s="150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  <c r="W460" s="143"/>
      <c r="X460" s="143"/>
      <c r="Y460" s="143"/>
      <c r="Z460" s="143"/>
    </row>
    <row r="461" spans="1:26" ht="18.75">
      <c r="A461" s="143"/>
      <c r="B461" s="140"/>
      <c r="C461" s="141"/>
      <c r="D461" s="142"/>
      <c r="E461" s="142"/>
      <c r="F461" s="143"/>
      <c r="G461" s="152"/>
      <c r="H461" s="152"/>
      <c r="I461" s="143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  <c r="W461" s="143"/>
      <c r="X461" s="143"/>
      <c r="Y461" s="143"/>
      <c r="Z461" s="143"/>
    </row>
    <row r="462" spans="1:26" ht="18.75">
      <c r="A462" s="143"/>
      <c r="B462" s="140"/>
      <c r="C462" s="141"/>
      <c r="D462" s="142"/>
      <c r="E462" s="142"/>
      <c r="F462" s="143"/>
      <c r="G462" s="150"/>
      <c r="H462" s="150"/>
      <c r="I462" s="143"/>
      <c r="J462" s="143"/>
      <c r="K462" s="143"/>
      <c r="L462" s="143"/>
      <c r="M462" s="143"/>
      <c r="N462" s="143"/>
      <c r="O462" s="143"/>
      <c r="P462" s="143"/>
      <c r="Q462" s="143"/>
      <c r="R462" s="143"/>
      <c r="S462" s="143"/>
      <c r="T462" s="143"/>
      <c r="U462" s="143"/>
      <c r="V462" s="143"/>
      <c r="W462" s="143"/>
      <c r="X462" s="143"/>
      <c r="Y462" s="143"/>
      <c r="Z462" s="143"/>
    </row>
    <row r="463" spans="1:26" ht="18.75">
      <c r="A463" s="143"/>
      <c r="B463" s="140"/>
      <c r="C463" s="141"/>
      <c r="D463" s="142"/>
      <c r="E463" s="142"/>
      <c r="F463" s="143"/>
      <c r="G463" s="152"/>
      <c r="H463" s="152"/>
      <c r="I463" s="143"/>
      <c r="J463" s="143"/>
      <c r="K463" s="143"/>
      <c r="L463" s="143"/>
      <c r="M463" s="143"/>
      <c r="N463" s="143"/>
      <c r="O463" s="143"/>
      <c r="P463" s="143"/>
      <c r="Q463" s="143"/>
      <c r="R463" s="143"/>
      <c r="S463" s="143"/>
      <c r="T463" s="143"/>
      <c r="U463" s="143"/>
      <c r="V463" s="143"/>
      <c r="W463" s="143"/>
      <c r="X463" s="143"/>
      <c r="Y463" s="143"/>
      <c r="Z463" s="143"/>
    </row>
    <row r="464" spans="1:26" ht="18.75">
      <c r="A464" s="143"/>
      <c r="B464" s="140"/>
      <c r="C464" s="141"/>
      <c r="D464" s="142"/>
      <c r="E464" s="142"/>
      <c r="F464" s="143"/>
      <c r="G464" s="150"/>
      <c r="H464" s="150"/>
      <c r="I464" s="143"/>
      <c r="J464" s="143"/>
      <c r="K464" s="143"/>
      <c r="L464" s="143"/>
      <c r="M464" s="143"/>
      <c r="N464" s="143"/>
      <c r="O464" s="143"/>
      <c r="P464" s="143"/>
      <c r="Q464" s="143"/>
      <c r="R464" s="143"/>
      <c r="S464" s="143"/>
      <c r="T464" s="143"/>
      <c r="U464" s="143"/>
      <c r="V464" s="143"/>
      <c r="W464" s="143"/>
      <c r="X464" s="143"/>
      <c r="Y464" s="143"/>
      <c r="Z464" s="143"/>
    </row>
    <row r="465" spans="1:26" ht="18.75">
      <c r="A465" s="143"/>
      <c r="B465" s="140"/>
      <c r="C465" s="141"/>
      <c r="D465" s="142"/>
      <c r="E465" s="142"/>
      <c r="F465" s="143"/>
      <c r="G465" s="152"/>
      <c r="H465" s="152"/>
      <c r="I465" s="143"/>
      <c r="J465" s="143"/>
      <c r="K465" s="143"/>
      <c r="L465" s="143"/>
      <c r="M465" s="143"/>
      <c r="N465" s="143"/>
      <c r="O465" s="143"/>
      <c r="P465" s="143"/>
      <c r="Q465" s="143"/>
      <c r="R465" s="143"/>
      <c r="S465" s="143"/>
      <c r="T465" s="143"/>
      <c r="U465" s="143"/>
      <c r="V465" s="143"/>
      <c r="W465" s="143"/>
      <c r="X465" s="143"/>
      <c r="Y465" s="143"/>
      <c r="Z465" s="143"/>
    </row>
    <row r="466" spans="1:26" ht="18.75">
      <c r="A466" s="143"/>
      <c r="B466" s="140"/>
      <c r="C466" s="141"/>
      <c r="D466" s="142"/>
      <c r="E466" s="142"/>
      <c r="F466" s="143"/>
      <c r="G466" s="150"/>
      <c r="H466" s="150"/>
      <c r="I466" s="143"/>
      <c r="J466" s="143"/>
      <c r="K466" s="143"/>
      <c r="L466" s="143"/>
      <c r="M466" s="143"/>
      <c r="N466" s="143"/>
      <c r="O466" s="143"/>
      <c r="P466" s="143"/>
      <c r="Q466" s="143"/>
      <c r="R466" s="143"/>
      <c r="S466" s="143"/>
      <c r="T466" s="143"/>
      <c r="U466" s="143"/>
      <c r="V466" s="143"/>
      <c r="W466" s="143"/>
      <c r="X466" s="143"/>
      <c r="Y466" s="143"/>
      <c r="Z466" s="143"/>
    </row>
    <row r="467" spans="1:26" ht="18.75">
      <c r="A467" s="143"/>
      <c r="B467" s="140"/>
      <c r="C467" s="141"/>
      <c r="D467" s="142"/>
      <c r="E467" s="142"/>
      <c r="F467" s="143"/>
      <c r="G467" s="152"/>
      <c r="H467" s="152"/>
      <c r="I467" s="143"/>
      <c r="J467" s="143"/>
      <c r="K467" s="143"/>
      <c r="L467" s="143"/>
      <c r="M467" s="143"/>
      <c r="N467" s="143"/>
      <c r="O467" s="143"/>
      <c r="P467" s="143"/>
      <c r="Q467" s="143"/>
      <c r="R467" s="143"/>
      <c r="S467" s="143"/>
      <c r="T467" s="143"/>
      <c r="U467" s="143"/>
      <c r="V467" s="143"/>
      <c r="W467" s="143"/>
      <c r="X467" s="143"/>
      <c r="Y467" s="143"/>
      <c r="Z467" s="143"/>
    </row>
    <row r="468" spans="1:26" ht="18.75">
      <c r="A468" s="143"/>
      <c r="B468" s="140"/>
      <c r="C468" s="141"/>
      <c r="D468" s="142"/>
      <c r="E468" s="142"/>
      <c r="F468" s="143"/>
      <c r="G468" s="150"/>
      <c r="H468" s="150"/>
      <c r="I468" s="143"/>
      <c r="J468" s="143"/>
      <c r="K468" s="143"/>
      <c r="L468" s="143"/>
      <c r="M468" s="143"/>
      <c r="N468" s="143"/>
      <c r="O468" s="143"/>
      <c r="P468" s="143"/>
      <c r="Q468" s="143"/>
      <c r="R468" s="143"/>
      <c r="S468" s="143"/>
      <c r="T468" s="143"/>
      <c r="U468" s="143"/>
      <c r="V468" s="143"/>
      <c r="W468" s="143"/>
      <c r="X468" s="143"/>
      <c r="Y468" s="143"/>
      <c r="Z468" s="143"/>
    </row>
    <row r="469" spans="1:26" ht="18.75">
      <c r="A469" s="143"/>
      <c r="B469" s="140"/>
      <c r="C469" s="141"/>
      <c r="D469" s="142"/>
      <c r="E469" s="142"/>
      <c r="F469" s="143"/>
      <c r="G469" s="152"/>
      <c r="H469" s="152"/>
      <c r="I469" s="143"/>
      <c r="J469" s="143"/>
      <c r="K469" s="143"/>
      <c r="L469" s="143"/>
      <c r="M469" s="143"/>
      <c r="N469" s="143"/>
      <c r="O469" s="143"/>
      <c r="P469" s="143"/>
      <c r="Q469" s="143"/>
      <c r="R469" s="143"/>
      <c r="S469" s="143"/>
      <c r="T469" s="143"/>
      <c r="U469" s="143"/>
      <c r="V469" s="143"/>
      <c r="W469" s="143"/>
      <c r="X469" s="143"/>
      <c r="Y469" s="143"/>
      <c r="Z469" s="143"/>
    </row>
    <row r="470" spans="1:26" ht="18.75">
      <c r="A470" s="143"/>
      <c r="B470" s="140"/>
      <c r="C470" s="141"/>
      <c r="D470" s="142"/>
      <c r="E470" s="142"/>
      <c r="F470" s="143"/>
      <c r="G470" s="150"/>
      <c r="H470" s="150"/>
      <c r="I470" s="143"/>
      <c r="J470" s="143"/>
      <c r="K470" s="143"/>
      <c r="L470" s="143"/>
      <c r="M470" s="143"/>
      <c r="N470" s="143"/>
      <c r="O470" s="143"/>
      <c r="P470" s="143"/>
      <c r="Q470" s="143"/>
      <c r="R470" s="143"/>
      <c r="S470" s="143"/>
      <c r="T470" s="143"/>
      <c r="U470" s="143"/>
      <c r="V470" s="143"/>
      <c r="W470" s="143"/>
      <c r="X470" s="143"/>
      <c r="Y470" s="143"/>
      <c r="Z470" s="143"/>
    </row>
    <row r="471" spans="1:26" ht="18.75">
      <c r="A471" s="143"/>
      <c r="B471" s="140"/>
      <c r="C471" s="141"/>
      <c r="D471" s="142"/>
      <c r="E471" s="142"/>
      <c r="F471" s="143"/>
      <c r="G471" s="152"/>
      <c r="H471" s="152"/>
      <c r="I471" s="143"/>
      <c r="J471" s="143"/>
      <c r="K471" s="143"/>
      <c r="L471" s="143"/>
      <c r="M471" s="143"/>
      <c r="N471" s="143"/>
      <c r="O471" s="143"/>
      <c r="P471" s="143"/>
      <c r="Q471" s="143"/>
      <c r="R471" s="143"/>
      <c r="S471" s="143"/>
      <c r="T471" s="143"/>
      <c r="U471" s="143"/>
      <c r="V471" s="143"/>
      <c r="W471" s="143"/>
      <c r="X471" s="143"/>
      <c r="Y471" s="143"/>
      <c r="Z471" s="143"/>
    </row>
    <row r="472" spans="1:26" ht="18.75">
      <c r="A472" s="143"/>
      <c r="B472" s="140"/>
      <c r="C472" s="141"/>
      <c r="D472" s="142"/>
      <c r="E472" s="142"/>
      <c r="F472" s="143"/>
      <c r="G472" s="150"/>
      <c r="H472" s="150"/>
      <c r="I472" s="143"/>
      <c r="J472" s="143"/>
      <c r="K472" s="143"/>
      <c r="L472" s="143"/>
      <c r="M472" s="143"/>
      <c r="N472" s="143"/>
      <c r="O472" s="143"/>
      <c r="P472" s="143"/>
      <c r="Q472" s="143"/>
      <c r="R472" s="143"/>
      <c r="S472" s="143"/>
      <c r="T472" s="143"/>
      <c r="U472" s="143"/>
      <c r="V472" s="143"/>
      <c r="W472" s="143"/>
      <c r="X472" s="143"/>
      <c r="Y472" s="143"/>
      <c r="Z472" s="143"/>
    </row>
    <row r="473" spans="1:26" ht="18.75">
      <c r="A473" s="143"/>
      <c r="B473" s="140"/>
      <c r="C473" s="141"/>
      <c r="D473" s="142"/>
      <c r="E473" s="142"/>
      <c r="F473" s="143"/>
      <c r="G473" s="152"/>
      <c r="H473" s="152"/>
      <c r="I473" s="143"/>
      <c r="J473" s="143"/>
      <c r="K473" s="143"/>
      <c r="L473" s="143"/>
      <c r="M473" s="143"/>
      <c r="N473" s="143"/>
      <c r="O473" s="143"/>
      <c r="P473" s="143"/>
      <c r="Q473" s="143"/>
      <c r="R473" s="143"/>
      <c r="S473" s="143"/>
      <c r="T473" s="143"/>
      <c r="U473" s="143"/>
      <c r="V473" s="143"/>
      <c r="W473" s="143"/>
      <c r="X473" s="143"/>
      <c r="Y473" s="143"/>
      <c r="Z473" s="143"/>
    </row>
    <row r="474" spans="1:26" ht="18.75">
      <c r="A474" s="143"/>
      <c r="B474" s="140"/>
      <c r="C474" s="141"/>
      <c r="D474" s="142"/>
      <c r="E474" s="142"/>
      <c r="F474" s="143"/>
      <c r="G474" s="150"/>
      <c r="H474" s="150"/>
      <c r="I474" s="143"/>
      <c r="J474" s="143"/>
      <c r="K474" s="143"/>
      <c r="L474" s="143"/>
      <c r="M474" s="143"/>
      <c r="N474" s="143"/>
      <c r="O474" s="143"/>
      <c r="P474" s="143"/>
      <c r="Q474" s="143"/>
      <c r="R474" s="143"/>
      <c r="S474" s="143"/>
      <c r="T474" s="143"/>
      <c r="U474" s="143"/>
      <c r="V474" s="143"/>
      <c r="W474" s="143"/>
      <c r="X474" s="143"/>
      <c r="Y474" s="143"/>
      <c r="Z474" s="143"/>
    </row>
    <row r="475" spans="1:26" ht="18.75">
      <c r="A475" s="143"/>
      <c r="B475" s="140"/>
      <c r="C475" s="141"/>
      <c r="D475" s="142"/>
      <c r="E475" s="142"/>
      <c r="F475" s="143"/>
      <c r="G475" s="152"/>
      <c r="H475" s="152"/>
      <c r="I475" s="143"/>
      <c r="J475" s="143"/>
      <c r="K475" s="143"/>
      <c r="L475" s="143"/>
      <c r="M475" s="143"/>
      <c r="N475" s="143"/>
      <c r="O475" s="143"/>
      <c r="P475" s="143"/>
      <c r="Q475" s="143"/>
      <c r="R475" s="143"/>
      <c r="S475" s="143"/>
      <c r="T475" s="143"/>
      <c r="U475" s="143"/>
      <c r="V475" s="143"/>
      <c r="W475" s="143"/>
      <c r="X475" s="143"/>
      <c r="Y475" s="143"/>
      <c r="Z475" s="143"/>
    </row>
    <row r="476" spans="1:26" ht="18.75">
      <c r="A476" s="143"/>
      <c r="B476" s="140"/>
      <c r="C476" s="141"/>
      <c r="D476" s="142"/>
      <c r="E476" s="142"/>
      <c r="F476" s="143"/>
      <c r="G476" s="150"/>
      <c r="H476" s="150"/>
      <c r="I476" s="143"/>
      <c r="J476" s="143"/>
      <c r="K476" s="143"/>
      <c r="L476" s="143"/>
      <c r="M476" s="143"/>
      <c r="N476" s="143"/>
      <c r="O476" s="143"/>
      <c r="P476" s="143"/>
      <c r="Q476" s="143"/>
      <c r="R476" s="143"/>
      <c r="S476" s="143"/>
      <c r="T476" s="143"/>
      <c r="U476" s="143"/>
      <c r="V476" s="143"/>
      <c r="W476" s="143"/>
      <c r="X476" s="143"/>
      <c r="Y476" s="143"/>
      <c r="Z476" s="143"/>
    </row>
    <row r="477" spans="1:26" ht="18.75">
      <c r="A477" s="143"/>
      <c r="B477" s="140"/>
      <c r="C477" s="141"/>
      <c r="D477" s="142"/>
      <c r="E477" s="142"/>
      <c r="F477" s="143"/>
      <c r="G477" s="152"/>
      <c r="H477" s="152"/>
      <c r="I477" s="143"/>
      <c r="J477" s="143"/>
      <c r="K477" s="143"/>
      <c r="L477" s="143"/>
      <c r="M477" s="143"/>
      <c r="N477" s="143"/>
      <c r="O477" s="143"/>
      <c r="P477" s="143"/>
      <c r="Q477" s="143"/>
      <c r="R477" s="143"/>
      <c r="S477" s="143"/>
      <c r="T477" s="143"/>
      <c r="U477" s="143"/>
      <c r="V477" s="143"/>
      <c r="W477" s="143"/>
      <c r="X477" s="143"/>
      <c r="Y477" s="143"/>
      <c r="Z477" s="143"/>
    </row>
    <row r="478" spans="1:26" ht="18.75">
      <c r="A478" s="143"/>
      <c r="B478" s="140"/>
      <c r="C478" s="141"/>
      <c r="D478" s="142"/>
      <c r="E478" s="142"/>
      <c r="F478" s="143"/>
      <c r="G478" s="150"/>
      <c r="H478" s="150"/>
      <c r="I478" s="143"/>
      <c r="J478" s="143"/>
      <c r="K478" s="143"/>
      <c r="L478" s="143"/>
      <c r="M478" s="143"/>
      <c r="N478" s="143"/>
      <c r="O478" s="143"/>
      <c r="P478" s="143"/>
      <c r="Q478" s="143"/>
      <c r="R478" s="143"/>
      <c r="S478" s="143"/>
      <c r="T478" s="143"/>
      <c r="U478" s="143"/>
      <c r="V478" s="143"/>
      <c r="W478" s="143"/>
      <c r="X478" s="143"/>
      <c r="Y478" s="143"/>
      <c r="Z478" s="143"/>
    </row>
    <row r="479" spans="1:26" ht="18.75">
      <c r="A479" s="143"/>
      <c r="B479" s="140"/>
      <c r="C479" s="141"/>
      <c r="D479" s="142"/>
      <c r="E479" s="142"/>
      <c r="F479" s="143"/>
      <c r="G479" s="152"/>
      <c r="H479" s="152"/>
      <c r="I479" s="143"/>
      <c r="J479" s="143"/>
      <c r="K479" s="143"/>
      <c r="L479" s="143"/>
      <c r="M479" s="143"/>
      <c r="N479" s="143"/>
      <c r="O479" s="143"/>
      <c r="P479" s="143"/>
      <c r="Q479" s="143"/>
      <c r="R479" s="143"/>
      <c r="S479" s="143"/>
      <c r="T479" s="143"/>
      <c r="U479" s="143"/>
      <c r="V479" s="143"/>
      <c r="W479" s="143"/>
      <c r="X479" s="143"/>
      <c r="Y479" s="143"/>
      <c r="Z479" s="143"/>
    </row>
    <row r="480" spans="1:26" ht="18.75">
      <c r="A480" s="143"/>
      <c r="B480" s="140"/>
      <c r="C480" s="141"/>
      <c r="D480" s="142"/>
      <c r="E480" s="142"/>
      <c r="F480" s="143"/>
      <c r="G480" s="150"/>
      <c r="H480" s="150"/>
      <c r="I480" s="143"/>
      <c r="J480" s="143"/>
      <c r="K480" s="143"/>
      <c r="L480" s="143"/>
      <c r="M480" s="143"/>
      <c r="N480" s="143"/>
      <c r="O480" s="143"/>
      <c r="P480" s="143"/>
      <c r="Q480" s="143"/>
      <c r="R480" s="143"/>
      <c r="S480" s="143"/>
      <c r="T480" s="143"/>
      <c r="U480" s="143"/>
      <c r="V480" s="143"/>
      <c r="W480" s="143"/>
      <c r="X480" s="143"/>
      <c r="Y480" s="143"/>
      <c r="Z480" s="143"/>
    </row>
    <row r="481" spans="1:26" ht="18.75">
      <c r="A481" s="143"/>
      <c r="B481" s="140"/>
      <c r="C481" s="141"/>
      <c r="D481" s="142"/>
      <c r="E481" s="142"/>
      <c r="F481" s="143"/>
      <c r="G481" s="152"/>
      <c r="H481" s="152"/>
      <c r="I481" s="143"/>
      <c r="J481" s="143"/>
      <c r="K481" s="143"/>
      <c r="L481" s="143"/>
      <c r="M481" s="143"/>
      <c r="N481" s="143"/>
      <c r="O481" s="143"/>
      <c r="P481" s="143"/>
      <c r="Q481" s="143"/>
      <c r="R481" s="143"/>
      <c r="S481" s="143"/>
      <c r="T481" s="143"/>
      <c r="U481" s="143"/>
      <c r="V481" s="143"/>
      <c r="W481" s="143"/>
      <c r="X481" s="143"/>
      <c r="Y481" s="143"/>
      <c r="Z481" s="143"/>
    </row>
    <row r="482" spans="1:26" ht="18.75">
      <c r="A482" s="143"/>
      <c r="B482" s="140"/>
      <c r="C482" s="141"/>
      <c r="D482" s="142"/>
      <c r="E482" s="142"/>
      <c r="F482" s="143"/>
      <c r="G482" s="150"/>
      <c r="H482" s="150"/>
      <c r="I482" s="143"/>
      <c r="J482" s="143"/>
      <c r="K482" s="143"/>
      <c r="L482" s="143"/>
      <c r="M482" s="143"/>
      <c r="N482" s="143"/>
      <c r="O482" s="143"/>
      <c r="P482" s="143"/>
      <c r="Q482" s="143"/>
      <c r="R482" s="143"/>
      <c r="S482" s="143"/>
      <c r="T482" s="143"/>
      <c r="U482" s="143"/>
      <c r="V482" s="143"/>
      <c r="W482" s="143"/>
      <c r="X482" s="143"/>
      <c r="Y482" s="143"/>
      <c r="Z482" s="143"/>
    </row>
    <row r="483" spans="1:26" ht="18.75">
      <c r="A483" s="143"/>
      <c r="B483" s="140"/>
      <c r="C483" s="141"/>
      <c r="D483" s="142"/>
      <c r="E483" s="142"/>
      <c r="F483" s="143"/>
      <c r="G483" s="152"/>
      <c r="H483" s="152"/>
      <c r="I483" s="143"/>
      <c r="J483" s="143"/>
      <c r="K483" s="143"/>
      <c r="L483" s="143"/>
      <c r="M483" s="143"/>
      <c r="N483" s="143"/>
      <c r="O483" s="143"/>
      <c r="P483" s="143"/>
      <c r="Q483" s="143"/>
      <c r="R483" s="143"/>
      <c r="S483" s="143"/>
      <c r="T483" s="143"/>
      <c r="U483" s="143"/>
      <c r="V483" s="143"/>
      <c r="W483" s="143"/>
      <c r="X483" s="143"/>
      <c r="Y483" s="143"/>
      <c r="Z483" s="143"/>
    </row>
    <row r="484" spans="1:26" ht="18.75">
      <c r="A484" s="143"/>
      <c r="B484" s="140"/>
      <c r="C484" s="141"/>
      <c r="D484" s="142"/>
      <c r="E484" s="142"/>
      <c r="F484" s="143"/>
      <c r="G484" s="150"/>
      <c r="H484" s="150"/>
      <c r="I484" s="143"/>
      <c r="J484" s="143"/>
      <c r="K484" s="143"/>
      <c r="L484" s="143"/>
      <c r="M484" s="143"/>
      <c r="N484" s="143"/>
      <c r="O484" s="143"/>
      <c r="P484" s="143"/>
      <c r="Q484" s="143"/>
      <c r="R484" s="143"/>
      <c r="S484" s="143"/>
      <c r="T484" s="143"/>
      <c r="U484" s="143"/>
      <c r="V484" s="143"/>
      <c r="W484" s="143"/>
      <c r="X484" s="143"/>
      <c r="Y484" s="143"/>
      <c r="Z484" s="143"/>
    </row>
    <row r="485" spans="1:26" ht="18.75">
      <c r="A485" s="143"/>
      <c r="B485" s="140"/>
      <c r="C485" s="141"/>
      <c r="D485" s="142"/>
      <c r="E485" s="142"/>
      <c r="F485" s="143"/>
      <c r="G485" s="152"/>
      <c r="H485" s="152"/>
      <c r="I485" s="143"/>
      <c r="J485" s="143"/>
      <c r="K485" s="143"/>
      <c r="L485" s="143"/>
      <c r="M485" s="143"/>
      <c r="N485" s="143"/>
      <c r="O485" s="143"/>
      <c r="P485" s="143"/>
      <c r="Q485" s="143"/>
      <c r="R485" s="143"/>
      <c r="S485" s="143"/>
      <c r="T485" s="143"/>
      <c r="U485" s="143"/>
      <c r="V485" s="143"/>
      <c r="W485" s="143"/>
      <c r="X485" s="143"/>
      <c r="Y485" s="143"/>
      <c r="Z485" s="143"/>
    </row>
    <row r="486" spans="1:26" ht="18.75">
      <c r="A486" s="143"/>
      <c r="B486" s="140"/>
      <c r="C486" s="141"/>
      <c r="D486" s="142"/>
      <c r="E486" s="142"/>
      <c r="F486" s="143"/>
      <c r="G486" s="150"/>
      <c r="H486" s="150"/>
      <c r="I486" s="143"/>
      <c r="J486" s="143"/>
      <c r="K486" s="143"/>
      <c r="L486" s="143"/>
      <c r="M486" s="143"/>
      <c r="N486" s="143"/>
      <c r="O486" s="143"/>
      <c r="P486" s="143"/>
      <c r="Q486" s="143"/>
      <c r="R486" s="143"/>
      <c r="S486" s="143"/>
      <c r="T486" s="143"/>
      <c r="U486" s="143"/>
      <c r="V486" s="143"/>
      <c r="W486" s="143"/>
      <c r="X486" s="143"/>
      <c r="Y486" s="143"/>
      <c r="Z486" s="143"/>
    </row>
    <row r="487" spans="1:26" ht="18.75">
      <c r="A487" s="143"/>
      <c r="B487" s="140"/>
      <c r="C487" s="141"/>
      <c r="D487" s="142"/>
      <c r="E487" s="142"/>
      <c r="F487" s="143"/>
      <c r="G487" s="152"/>
      <c r="H487" s="152"/>
      <c r="I487" s="143"/>
      <c r="J487" s="143"/>
      <c r="K487" s="143"/>
      <c r="L487" s="143"/>
      <c r="M487" s="143"/>
      <c r="N487" s="143"/>
      <c r="O487" s="143"/>
      <c r="P487" s="143"/>
      <c r="Q487" s="143"/>
      <c r="R487" s="143"/>
      <c r="S487" s="143"/>
      <c r="T487" s="143"/>
      <c r="U487" s="143"/>
      <c r="V487" s="143"/>
      <c r="W487" s="143"/>
      <c r="X487" s="143"/>
      <c r="Y487" s="143"/>
      <c r="Z487" s="143"/>
    </row>
    <row r="488" spans="1:26" ht="18.75">
      <c r="A488" s="143"/>
      <c r="B488" s="140"/>
      <c r="C488" s="141"/>
      <c r="D488" s="142"/>
      <c r="E488" s="142"/>
      <c r="F488" s="143"/>
      <c r="G488" s="150"/>
      <c r="H488" s="150"/>
      <c r="I488" s="143"/>
      <c r="J488" s="143"/>
      <c r="K488" s="143"/>
      <c r="L488" s="143"/>
      <c r="M488" s="143"/>
      <c r="N488" s="143"/>
      <c r="O488" s="143"/>
      <c r="P488" s="143"/>
      <c r="Q488" s="143"/>
      <c r="R488" s="143"/>
      <c r="S488" s="143"/>
      <c r="T488" s="143"/>
      <c r="U488" s="143"/>
      <c r="V488" s="143"/>
      <c r="W488" s="143"/>
      <c r="X488" s="143"/>
      <c r="Y488" s="143"/>
      <c r="Z488" s="143"/>
    </row>
    <row r="489" spans="1:26" ht="18.75">
      <c r="A489" s="143"/>
      <c r="B489" s="140"/>
      <c r="C489" s="141"/>
      <c r="D489" s="142"/>
      <c r="E489" s="142"/>
      <c r="F489" s="143"/>
      <c r="G489" s="152"/>
      <c r="H489" s="152"/>
      <c r="I489" s="143"/>
      <c r="J489" s="143"/>
      <c r="K489" s="143"/>
      <c r="L489" s="143"/>
      <c r="M489" s="143"/>
      <c r="N489" s="143"/>
      <c r="O489" s="143"/>
      <c r="P489" s="143"/>
      <c r="Q489" s="143"/>
      <c r="R489" s="143"/>
      <c r="S489" s="143"/>
      <c r="T489" s="143"/>
      <c r="U489" s="143"/>
      <c r="V489" s="143"/>
      <c r="W489" s="143"/>
      <c r="X489" s="143"/>
      <c r="Y489" s="143"/>
      <c r="Z489" s="143"/>
    </row>
    <row r="490" spans="1:26" ht="18.75">
      <c r="A490" s="143"/>
      <c r="B490" s="140"/>
      <c r="C490" s="141"/>
      <c r="D490" s="142"/>
      <c r="E490" s="142"/>
      <c r="F490" s="143"/>
      <c r="G490" s="150"/>
      <c r="H490" s="150"/>
      <c r="I490" s="143"/>
      <c r="J490" s="143"/>
      <c r="K490" s="143"/>
      <c r="L490" s="143"/>
      <c r="M490" s="143"/>
      <c r="N490" s="143"/>
      <c r="O490" s="143"/>
      <c r="P490" s="143"/>
      <c r="Q490" s="143"/>
      <c r="R490" s="143"/>
      <c r="S490" s="143"/>
      <c r="T490" s="143"/>
      <c r="U490" s="143"/>
      <c r="V490" s="143"/>
      <c r="W490" s="143"/>
      <c r="X490" s="143"/>
      <c r="Y490" s="143"/>
      <c r="Z490" s="143"/>
    </row>
    <row r="491" spans="1:26" ht="18.75">
      <c r="A491" s="143"/>
      <c r="B491" s="140"/>
      <c r="C491" s="141"/>
      <c r="D491" s="142"/>
      <c r="E491" s="142"/>
      <c r="F491" s="143"/>
      <c r="G491" s="152"/>
      <c r="H491" s="152"/>
      <c r="I491" s="143"/>
      <c r="J491" s="143"/>
      <c r="K491" s="143"/>
      <c r="L491" s="143"/>
      <c r="M491" s="143"/>
      <c r="N491" s="143"/>
      <c r="O491" s="143"/>
      <c r="P491" s="143"/>
      <c r="Q491" s="143"/>
      <c r="R491" s="143"/>
      <c r="S491" s="143"/>
      <c r="T491" s="143"/>
      <c r="U491" s="143"/>
      <c r="V491" s="143"/>
      <c r="W491" s="143"/>
      <c r="X491" s="143"/>
      <c r="Y491" s="143"/>
      <c r="Z491" s="143"/>
    </row>
    <row r="492" spans="1:26" ht="18.75">
      <c r="A492" s="143"/>
      <c r="B492" s="140"/>
      <c r="C492" s="141"/>
      <c r="D492" s="142"/>
      <c r="E492" s="142"/>
      <c r="F492" s="143"/>
      <c r="G492" s="150"/>
      <c r="H492" s="150"/>
      <c r="I492" s="143"/>
      <c r="J492" s="143"/>
      <c r="K492" s="143"/>
      <c r="L492" s="143"/>
      <c r="M492" s="143"/>
      <c r="N492" s="143"/>
      <c r="O492" s="143"/>
      <c r="P492" s="143"/>
      <c r="Q492" s="143"/>
      <c r="R492" s="143"/>
      <c r="S492" s="143"/>
      <c r="T492" s="143"/>
      <c r="U492" s="143"/>
      <c r="V492" s="143"/>
      <c r="W492" s="143"/>
      <c r="X492" s="143"/>
      <c r="Y492" s="143"/>
      <c r="Z492" s="143"/>
    </row>
    <row r="493" spans="1:26" ht="18.75">
      <c r="A493" s="143"/>
      <c r="B493" s="140"/>
      <c r="C493" s="141"/>
      <c r="D493" s="142"/>
      <c r="E493" s="142"/>
      <c r="F493" s="143"/>
      <c r="G493" s="152"/>
      <c r="H493" s="152"/>
      <c r="I493" s="143"/>
      <c r="J493" s="143"/>
      <c r="K493" s="143"/>
      <c r="L493" s="143"/>
      <c r="M493" s="143"/>
      <c r="N493" s="143"/>
      <c r="O493" s="143"/>
      <c r="P493" s="143"/>
      <c r="Q493" s="143"/>
      <c r="R493" s="143"/>
      <c r="S493" s="143"/>
      <c r="T493" s="143"/>
      <c r="U493" s="143"/>
      <c r="V493" s="143"/>
      <c r="W493" s="143"/>
      <c r="X493" s="143"/>
      <c r="Y493" s="143"/>
      <c r="Z493" s="143"/>
    </row>
    <row r="494" spans="1:26" ht="18.75">
      <c r="A494" s="143"/>
      <c r="B494" s="140"/>
      <c r="C494" s="141"/>
      <c r="D494" s="142"/>
      <c r="E494" s="142"/>
      <c r="F494" s="143"/>
      <c r="G494" s="150"/>
      <c r="H494" s="150"/>
      <c r="I494" s="143"/>
      <c r="J494" s="143"/>
      <c r="K494" s="143"/>
      <c r="L494" s="143"/>
      <c r="M494" s="143"/>
      <c r="N494" s="143"/>
      <c r="O494" s="143"/>
      <c r="P494" s="143"/>
      <c r="Q494" s="143"/>
      <c r="R494" s="143"/>
      <c r="S494" s="143"/>
      <c r="T494" s="143"/>
      <c r="U494" s="143"/>
      <c r="V494" s="143"/>
      <c r="W494" s="143"/>
      <c r="X494" s="143"/>
      <c r="Y494" s="143"/>
      <c r="Z494" s="143"/>
    </row>
    <row r="495" spans="1:26" ht="18.75">
      <c r="A495" s="143"/>
      <c r="B495" s="140"/>
      <c r="C495" s="141"/>
      <c r="D495" s="142"/>
      <c r="E495" s="142"/>
      <c r="F495" s="143"/>
      <c r="G495" s="152"/>
      <c r="H495" s="152"/>
      <c r="I495" s="143"/>
      <c r="J495" s="143"/>
      <c r="K495" s="143"/>
      <c r="L495" s="143"/>
      <c r="M495" s="143"/>
      <c r="N495" s="143"/>
      <c r="O495" s="143"/>
      <c r="P495" s="143"/>
      <c r="Q495" s="143"/>
      <c r="R495" s="143"/>
      <c r="S495" s="143"/>
      <c r="T495" s="143"/>
      <c r="U495" s="143"/>
      <c r="V495" s="143"/>
      <c r="W495" s="143"/>
      <c r="X495" s="143"/>
      <c r="Y495" s="143"/>
      <c r="Z495" s="143"/>
    </row>
    <row r="496" spans="1:26" ht="18.75">
      <c r="A496" s="143"/>
      <c r="B496" s="140"/>
      <c r="C496" s="141"/>
      <c r="D496" s="142"/>
      <c r="E496" s="142"/>
      <c r="F496" s="143"/>
      <c r="G496" s="150"/>
      <c r="H496" s="150"/>
      <c r="I496" s="143"/>
      <c r="J496" s="143"/>
      <c r="K496" s="143"/>
      <c r="L496" s="143"/>
      <c r="M496" s="143"/>
      <c r="N496" s="143"/>
      <c r="O496" s="143"/>
      <c r="P496" s="143"/>
      <c r="Q496" s="143"/>
      <c r="R496" s="143"/>
      <c r="S496" s="143"/>
      <c r="T496" s="143"/>
      <c r="U496" s="143"/>
      <c r="V496" s="143"/>
      <c r="W496" s="143"/>
      <c r="X496" s="143"/>
      <c r="Y496" s="143"/>
      <c r="Z496" s="143"/>
    </row>
    <row r="497" spans="1:26" ht="18.75">
      <c r="A497" s="143"/>
      <c r="B497" s="140"/>
      <c r="C497" s="141"/>
      <c r="D497" s="142"/>
      <c r="E497" s="142"/>
      <c r="F497" s="143"/>
      <c r="G497" s="152"/>
      <c r="H497" s="152"/>
      <c r="I497" s="143"/>
      <c r="J497" s="143"/>
      <c r="K497" s="143"/>
      <c r="L497" s="143"/>
      <c r="M497" s="143"/>
      <c r="N497" s="143"/>
      <c r="O497" s="143"/>
      <c r="P497" s="143"/>
      <c r="Q497" s="143"/>
      <c r="R497" s="143"/>
      <c r="S497" s="143"/>
      <c r="T497" s="143"/>
      <c r="U497" s="143"/>
      <c r="V497" s="143"/>
      <c r="W497" s="143"/>
      <c r="X497" s="143"/>
      <c r="Y497" s="143"/>
      <c r="Z497" s="143"/>
    </row>
    <row r="498" spans="1:26" ht="18.75">
      <c r="A498" s="143"/>
      <c r="B498" s="140"/>
      <c r="C498" s="141"/>
      <c r="D498" s="142"/>
      <c r="E498" s="142"/>
      <c r="F498" s="143"/>
      <c r="G498" s="150"/>
      <c r="H498" s="150"/>
      <c r="I498" s="143"/>
      <c r="J498" s="143"/>
      <c r="K498" s="143"/>
      <c r="L498" s="143"/>
      <c r="M498" s="143"/>
      <c r="N498" s="143"/>
      <c r="O498" s="143"/>
      <c r="P498" s="143"/>
      <c r="Q498" s="143"/>
      <c r="R498" s="143"/>
      <c r="S498" s="143"/>
      <c r="T498" s="143"/>
      <c r="U498" s="143"/>
      <c r="V498" s="143"/>
      <c r="W498" s="143"/>
      <c r="X498" s="143"/>
      <c r="Y498" s="143"/>
      <c r="Z498" s="143"/>
    </row>
    <row r="499" spans="1:26" ht="18.75">
      <c r="A499" s="143"/>
      <c r="B499" s="140"/>
      <c r="C499" s="141"/>
      <c r="D499" s="142"/>
      <c r="E499" s="142"/>
      <c r="F499" s="143"/>
      <c r="G499" s="152"/>
      <c r="H499" s="152"/>
      <c r="I499" s="143"/>
      <c r="J499" s="143"/>
      <c r="K499" s="143"/>
      <c r="L499" s="143"/>
      <c r="M499" s="143"/>
      <c r="N499" s="143"/>
      <c r="O499" s="143"/>
      <c r="P499" s="143"/>
      <c r="Q499" s="143"/>
      <c r="R499" s="143"/>
      <c r="S499" s="143"/>
      <c r="T499" s="143"/>
      <c r="U499" s="143"/>
      <c r="V499" s="143"/>
      <c r="W499" s="143"/>
      <c r="X499" s="143"/>
      <c r="Y499" s="143"/>
      <c r="Z499" s="143"/>
    </row>
    <row r="500" spans="1:26" ht="18.75">
      <c r="A500" s="143"/>
      <c r="B500" s="140"/>
      <c r="C500" s="141"/>
      <c r="D500" s="142"/>
      <c r="E500" s="142"/>
      <c r="F500" s="143"/>
      <c r="G500" s="150"/>
      <c r="H500" s="150"/>
      <c r="I500" s="143"/>
      <c r="J500" s="143"/>
      <c r="K500" s="143"/>
      <c r="L500" s="143"/>
      <c r="M500" s="143"/>
      <c r="N500" s="143"/>
      <c r="O500" s="143"/>
      <c r="P500" s="143"/>
      <c r="Q500" s="143"/>
      <c r="R500" s="143"/>
      <c r="S500" s="143"/>
      <c r="T500" s="143"/>
      <c r="U500" s="143"/>
      <c r="V500" s="143"/>
      <c r="W500" s="143"/>
      <c r="X500" s="143"/>
      <c r="Y500" s="143"/>
      <c r="Z500" s="143"/>
    </row>
    <row r="501" spans="1:26" ht="18.75">
      <c r="A501" s="143"/>
      <c r="B501" s="140"/>
      <c r="C501" s="141"/>
      <c r="D501" s="142"/>
      <c r="E501" s="142"/>
      <c r="F501" s="143"/>
      <c r="G501" s="152"/>
      <c r="H501" s="152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  <c r="W501" s="143"/>
      <c r="X501" s="143"/>
      <c r="Y501" s="143"/>
      <c r="Z501" s="143"/>
    </row>
    <row r="502" spans="1:26" ht="18.75">
      <c r="A502" s="143"/>
      <c r="B502" s="140"/>
      <c r="C502" s="141"/>
      <c r="D502" s="142"/>
      <c r="E502" s="142"/>
      <c r="F502" s="143"/>
      <c r="G502" s="150"/>
      <c r="H502" s="150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  <c r="W502" s="143"/>
      <c r="X502" s="143"/>
      <c r="Y502" s="143"/>
      <c r="Z502" s="143"/>
    </row>
    <row r="503" spans="1:26" ht="18.75">
      <c r="A503" s="143"/>
      <c r="B503" s="140"/>
      <c r="C503" s="141"/>
      <c r="D503" s="142"/>
      <c r="E503" s="142"/>
      <c r="F503" s="143"/>
      <c r="G503" s="152"/>
      <c r="H503" s="152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  <c r="W503" s="143"/>
      <c r="X503" s="143"/>
      <c r="Y503" s="143"/>
      <c r="Z503" s="143"/>
    </row>
    <row r="504" spans="1:26" ht="18.75">
      <c r="A504" s="143"/>
      <c r="B504" s="140"/>
      <c r="C504" s="141"/>
      <c r="D504" s="142"/>
      <c r="E504" s="142"/>
      <c r="F504" s="143"/>
      <c r="G504" s="150"/>
      <c r="H504" s="150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  <c r="W504" s="143"/>
      <c r="X504" s="143"/>
      <c r="Y504" s="143"/>
      <c r="Z504" s="143"/>
    </row>
    <row r="505" spans="1:26" ht="18.75">
      <c r="A505" s="143"/>
      <c r="B505" s="140"/>
      <c r="C505" s="141"/>
      <c r="D505" s="142"/>
      <c r="E505" s="142"/>
      <c r="F505" s="143"/>
      <c r="G505" s="152"/>
      <c r="H505" s="152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  <c r="W505" s="143"/>
      <c r="X505" s="143"/>
      <c r="Y505" s="143"/>
      <c r="Z505" s="143"/>
    </row>
    <row r="506" spans="1:26" ht="18.75">
      <c r="A506" s="143"/>
      <c r="B506" s="140"/>
      <c r="C506" s="141"/>
      <c r="D506" s="142"/>
      <c r="E506" s="142"/>
      <c r="F506" s="143"/>
      <c r="G506" s="150"/>
      <c r="H506" s="150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  <c r="W506" s="143"/>
      <c r="X506" s="143"/>
      <c r="Y506" s="143"/>
      <c r="Z506" s="143"/>
    </row>
    <row r="507" spans="1:26" ht="18.75">
      <c r="A507" s="143"/>
      <c r="B507" s="140"/>
      <c r="C507" s="141"/>
      <c r="D507" s="142"/>
      <c r="E507" s="142"/>
      <c r="F507" s="143"/>
      <c r="G507" s="152"/>
      <c r="H507" s="152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  <c r="W507" s="143"/>
      <c r="X507" s="143"/>
      <c r="Y507" s="143"/>
      <c r="Z507" s="143"/>
    </row>
    <row r="508" spans="1:26" ht="18.75">
      <c r="A508" s="143"/>
      <c r="B508" s="140"/>
      <c r="C508" s="141"/>
      <c r="D508" s="142"/>
      <c r="E508" s="142"/>
      <c r="F508" s="143"/>
      <c r="G508" s="150"/>
      <c r="H508" s="150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  <c r="W508" s="143"/>
      <c r="X508" s="143"/>
      <c r="Y508" s="143"/>
      <c r="Z508" s="143"/>
    </row>
    <row r="509" spans="1:26" ht="18.75">
      <c r="A509" s="143"/>
      <c r="B509" s="140"/>
      <c r="C509" s="141"/>
      <c r="D509" s="142"/>
      <c r="E509" s="142"/>
      <c r="F509" s="143"/>
      <c r="G509" s="152"/>
      <c r="H509" s="152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  <c r="W509" s="143"/>
      <c r="X509" s="143"/>
      <c r="Y509" s="143"/>
      <c r="Z509" s="143"/>
    </row>
    <row r="510" spans="1:26" ht="18.75">
      <c r="A510" s="143"/>
      <c r="B510" s="140"/>
      <c r="C510" s="141"/>
      <c r="D510" s="142"/>
      <c r="E510" s="142"/>
      <c r="F510" s="143"/>
      <c r="G510" s="150"/>
      <c r="H510" s="150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  <c r="W510" s="143"/>
      <c r="X510" s="143"/>
      <c r="Y510" s="143"/>
      <c r="Z510" s="143"/>
    </row>
    <row r="511" spans="1:26" ht="18.75">
      <c r="A511" s="143"/>
      <c r="B511" s="140"/>
      <c r="C511" s="141"/>
      <c r="D511" s="142"/>
      <c r="E511" s="142"/>
      <c r="F511" s="143"/>
      <c r="G511" s="152"/>
      <c r="H511" s="152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  <c r="W511" s="143"/>
      <c r="X511" s="143"/>
      <c r="Y511" s="143"/>
      <c r="Z511" s="143"/>
    </row>
    <row r="512" spans="1:26" ht="18.75">
      <c r="A512" s="143"/>
      <c r="B512" s="140"/>
      <c r="C512" s="141"/>
      <c r="D512" s="142"/>
      <c r="E512" s="142"/>
      <c r="F512" s="143"/>
      <c r="G512" s="150"/>
      <c r="H512" s="150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  <c r="W512" s="143"/>
      <c r="X512" s="143"/>
      <c r="Y512" s="143"/>
      <c r="Z512" s="143"/>
    </row>
    <row r="513" spans="1:26" ht="18.75">
      <c r="A513" s="143"/>
      <c r="B513" s="140"/>
      <c r="C513" s="141"/>
      <c r="D513" s="142"/>
      <c r="E513" s="142"/>
      <c r="F513" s="143"/>
      <c r="G513" s="152"/>
      <c r="H513" s="152"/>
      <c r="I513" s="143"/>
      <c r="J513" s="143"/>
      <c r="K513" s="143"/>
      <c r="L513" s="143"/>
      <c r="M513" s="143"/>
      <c r="N513" s="143"/>
      <c r="O513" s="143"/>
      <c r="P513" s="143"/>
      <c r="Q513" s="143"/>
      <c r="R513" s="143"/>
      <c r="S513" s="143"/>
      <c r="T513" s="143"/>
      <c r="U513" s="143"/>
      <c r="V513" s="143"/>
      <c r="W513" s="143"/>
      <c r="X513" s="143"/>
      <c r="Y513" s="143"/>
      <c r="Z513" s="143"/>
    </row>
    <row r="514" spans="1:26" ht="18.75">
      <c r="A514" s="143"/>
      <c r="B514" s="140"/>
      <c r="C514" s="141"/>
      <c r="D514" s="142"/>
      <c r="E514" s="142"/>
      <c r="F514" s="143"/>
      <c r="G514" s="150"/>
      <c r="H514" s="150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  <c r="W514" s="143"/>
      <c r="X514" s="143"/>
      <c r="Y514" s="143"/>
      <c r="Z514" s="143"/>
    </row>
    <row r="515" spans="1:26" ht="18.75">
      <c r="A515" s="143"/>
      <c r="B515" s="140"/>
      <c r="C515" s="141"/>
      <c r="D515" s="142"/>
      <c r="E515" s="142"/>
      <c r="F515" s="143"/>
      <c r="G515" s="152"/>
      <c r="H515" s="152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  <c r="W515" s="143"/>
      <c r="X515" s="143"/>
      <c r="Y515" s="143"/>
      <c r="Z515" s="143"/>
    </row>
    <row r="516" spans="1:26" ht="18.75">
      <c r="A516" s="143"/>
      <c r="B516" s="140"/>
      <c r="C516" s="141"/>
      <c r="D516" s="142"/>
      <c r="E516" s="142"/>
      <c r="F516" s="143"/>
      <c r="G516" s="150"/>
      <c r="H516" s="150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  <c r="W516" s="143"/>
      <c r="X516" s="143"/>
      <c r="Y516" s="143"/>
      <c r="Z516" s="143"/>
    </row>
    <row r="517" spans="1:26" ht="18.75">
      <c r="A517" s="143"/>
      <c r="B517" s="140"/>
      <c r="C517" s="141"/>
      <c r="D517" s="142"/>
      <c r="E517" s="142"/>
      <c r="F517" s="143"/>
      <c r="G517" s="152"/>
      <c r="H517" s="152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  <c r="W517" s="143"/>
      <c r="X517" s="143"/>
      <c r="Y517" s="143"/>
      <c r="Z517" s="143"/>
    </row>
    <row r="518" spans="1:26" ht="18.75">
      <c r="A518" s="143"/>
      <c r="B518" s="140"/>
      <c r="C518" s="141"/>
      <c r="D518" s="142"/>
      <c r="E518" s="142"/>
      <c r="F518" s="143"/>
      <c r="G518" s="150"/>
      <c r="H518" s="150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  <c r="W518" s="143"/>
      <c r="X518" s="143"/>
      <c r="Y518" s="143"/>
      <c r="Z518" s="143"/>
    </row>
    <row r="519" spans="1:26" ht="18.75">
      <c r="A519" s="143"/>
      <c r="B519" s="140"/>
      <c r="C519" s="141"/>
      <c r="D519" s="142"/>
      <c r="E519" s="142"/>
      <c r="F519" s="143"/>
      <c r="G519" s="152"/>
      <c r="H519" s="152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  <c r="W519" s="143"/>
      <c r="X519" s="143"/>
      <c r="Y519" s="143"/>
      <c r="Z519" s="143"/>
    </row>
    <row r="520" spans="1:26" ht="18.75">
      <c r="A520" s="143"/>
      <c r="B520" s="140"/>
      <c r="C520" s="141"/>
      <c r="D520" s="142"/>
      <c r="E520" s="142"/>
      <c r="F520" s="143"/>
      <c r="G520" s="150"/>
      <c r="H520" s="150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  <c r="W520" s="143"/>
      <c r="X520" s="143"/>
      <c r="Y520" s="143"/>
      <c r="Z520" s="143"/>
    </row>
    <row r="521" spans="1:26" ht="18.75">
      <c r="A521" s="143"/>
      <c r="B521" s="140"/>
      <c r="C521" s="141"/>
      <c r="D521" s="142"/>
      <c r="E521" s="142"/>
      <c r="F521" s="143"/>
      <c r="G521" s="152"/>
      <c r="H521" s="152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  <c r="W521" s="143"/>
      <c r="X521" s="143"/>
      <c r="Y521" s="143"/>
      <c r="Z521" s="143"/>
    </row>
    <row r="522" spans="1:26" ht="18.75">
      <c r="A522" s="143"/>
      <c r="B522" s="140"/>
      <c r="C522" s="141"/>
      <c r="D522" s="142"/>
      <c r="E522" s="142"/>
      <c r="F522" s="143"/>
      <c r="G522" s="150"/>
      <c r="H522" s="150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  <c r="W522" s="143"/>
      <c r="X522" s="143"/>
      <c r="Y522" s="143"/>
      <c r="Z522" s="143"/>
    </row>
    <row r="523" spans="1:26" ht="18.75">
      <c r="A523" s="143"/>
      <c r="B523" s="140"/>
      <c r="C523" s="141"/>
      <c r="D523" s="142"/>
      <c r="E523" s="142"/>
      <c r="F523" s="143"/>
      <c r="G523" s="152"/>
      <c r="H523" s="152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  <c r="W523" s="143"/>
      <c r="X523" s="143"/>
      <c r="Y523" s="143"/>
      <c r="Z523" s="143"/>
    </row>
    <row r="524" spans="1:26" ht="18.75">
      <c r="A524" s="143"/>
      <c r="B524" s="140"/>
      <c r="C524" s="141"/>
      <c r="D524" s="142"/>
      <c r="E524" s="142"/>
      <c r="F524" s="143"/>
      <c r="G524" s="150"/>
      <c r="H524" s="150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  <c r="W524" s="143"/>
      <c r="X524" s="143"/>
      <c r="Y524" s="143"/>
      <c r="Z524" s="143"/>
    </row>
    <row r="525" spans="1:26" ht="18.75">
      <c r="A525" s="143"/>
      <c r="B525" s="140"/>
      <c r="C525" s="141"/>
      <c r="D525" s="142"/>
      <c r="E525" s="142"/>
      <c r="F525" s="143"/>
      <c r="G525" s="152"/>
      <c r="H525" s="152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  <c r="W525" s="143"/>
      <c r="X525" s="143"/>
      <c r="Y525" s="143"/>
      <c r="Z525" s="143"/>
    </row>
    <row r="526" spans="1:26" ht="18.75">
      <c r="A526" s="143"/>
      <c r="B526" s="140"/>
      <c r="C526" s="141"/>
      <c r="D526" s="142"/>
      <c r="E526" s="142"/>
      <c r="F526" s="143"/>
      <c r="G526" s="150"/>
      <c r="H526" s="150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  <c r="S526" s="143"/>
      <c r="T526" s="143"/>
      <c r="U526" s="143"/>
      <c r="V526" s="143"/>
      <c r="W526" s="143"/>
      <c r="X526" s="143"/>
      <c r="Y526" s="143"/>
      <c r="Z526" s="143"/>
    </row>
    <row r="527" spans="1:26" ht="18.75">
      <c r="A527" s="143"/>
      <c r="B527" s="140"/>
      <c r="C527" s="141"/>
      <c r="D527" s="142"/>
      <c r="E527" s="142"/>
      <c r="F527" s="143"/>
      <c r="G527" s="152"/>
      <c r="H527" s="152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  <c r="Z527" s="143"/>
    </row>
    <row r="528" spans="1:26" ht="18.75">
      <c r="A528" s="143"/>
      <c r="B528" s="140"/>
      <c r="C528" s="141"/>
      <c r="D528" s="142"/>
      <c r="E528" s="142"/>
      <c r="F528" s="143"/>
      <c r="G528" s="150"/>
      <c r="H528" s="150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  <c r="Z528" s="143"/>
    </row>
    <row r="529" spans="1:26" ht="18.75">
      <c r="A529" s="143"/>
      <c r="B529" s="140"/>
      <c r="C529" s="141"/>
      <c r="D529" s="142"/>
      <c r="E529" s="142"/>
      <c r="F529" s="143"/>
      <c r="G529" s="152"/>
      <c r="H529" s="152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  <c r="Z529" s="143"/>
    </row>
    <row r="530" spans="1:26" ht="18.75">
      <c r="A530" s="143"/>
      <c r="B530" s="140"/>
      <c r="C530" s="141"/>
      <c r="D530" s="142"/>
      <c r="E530" s="142"/>
      <c r="F530" s="143"/>
      <c r="G530" s="150"/>
      <c r="H530" s="150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  <c r="Z530" s="143"/>
    </row>
    <row r="531" spans="1:26" ht="18.75">
      <c r="A531" s="143"/>
      <c r="B531" s="140"/>
      <c r="C531" s="141"/>
      <c r="D531" s="142"/>
      <c r="E531" s="142"/>
      <c r="F531" s="143"/>
      <c r="G531" s="152"/>
      <c r="H531" s="152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  <c r="Z531" s="143"/>
    </row>
    <row r="532" spans="1:26" ht="18.75">
      <c r="A532" s="143"/>
      <c r="B532" s="140"/>
      <c r="C532" s="141"/>
      <c r="D532" s="142"/>
      <c r="E532" s="142"/>
      <c r="F532" s="143"/>
      <c r="G532" s="150"/>
      <c r="H532" s="150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  <c r="Z532" s="143"/>
    </row>
    <row r="533" spans="1:26" ht="18.75">
      <c r="A533" s="143"/>
      <c r="B533" s="140"/>
      <c r="C533" s="141"/>
      <c r="D533" s="142"/>
      <c r="E533" s="142"/>
      <c r="F533" s="143"/>
      <c r="G533" s="152"/>
      <c r="H533" s="152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  <c r="Z533" s="143"/>
    </row>
    <row r="534" spans="1:26" ht="18.75">
      <c r="A534" s="143"/>
      <c r="B534" s="140"/>
      <c r="C534" s="141"/>
      <c r="D534" s="142"/>
      <c r="E534" s="142"/>
      <c r="F534" s="143"/>
      <c r="G534" s="150"/>
      <c r="H534" s="150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  <c r="Z534" s="143"/>
    </row>
    <row r="535" spans="1:26" ht="18.75">
      <c r="A535" s="143"/>
      <c r="B535" s="140"/>
      <c r="C535" s="141"/>
      <c r="D535" s="142"/>
      <c r="E535" s="142"/>
      <c r="F535" s="143"/>
      <c r="G535" s="152"/>
      <c r="H535" s="152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  <c r="Z535" s="143"/>
    </row>
    <row r="536" spans="1:26" ht="18.75">
      <c r="A536" s="143"/>
      <c r="B536" s="140"/>
      <c r="C536" s="141"/>
      <c r="D536" s="142"/>
      <c r="E536" s="142"/>
      <c r="F536" s="143"/>
      <c r="G536" s="150"/>
      <c r="H536" s="150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  <c r="Z536" s="143"/>
    </row>
    <row r="537" spans="1:26" ht="18.75">
      <c r="A537" s="143"/>
      <c r="B537" s="140"/>
      <c r="C537" s="141"/>
      <c r="D537" s="142"/>
      <c r="E537" s="142"/>
      <c r="F537" s="143"/>
      <c r="G537" s="152"/>
      <c r="H537" s="152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  <c r="Z537" s="143"/>
    </row>
    <row r="538" spans="1:26" ht="18.75">
      <c r="A538" s="143"/>
      <c r="B538" s="140"/>
      <c r="C538" s="141"/>
      <c r="D538" s="142"/>
      <c r="E538" s="142"/>
      <c r="F538" s="143"/>
      <c r="G538" s="150"/>
      <c r="H538" s="150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  <c r="Z538" s="143"/>
    </row>
    <row r="539" spans="1:26" ht="18.75">
      <c r="A539" s="143"/>
      <c r="B539" s="140"/>
      <c r="C539" s="141"/>
      <c r="D539" s="142"/>
      <c r="E539" s="142"/>
      <c r="F539" s="143"/>
      <c r="G539" s="152"/>
      <c r="H539" s="152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  <c r="Z539" s="143"/>
    </row>
    <row r="540" spans="1:26" ht="18.75">
      <c r="A540" s="143"/>
      <c r="B540" s="140"/>
      <c r="C540" s="141"/>
      <c r="D540" s="142"/>
      <c r="E540" s="142"/>
      <c r="F540" s="143"/>
      <c r="G540" s="150"/>
      <c r="H540" s="150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  <c r="Z540" s="143"/>
    </row>
    <row r="541" spans="1:26" ht="18.75">
      <c r="A541" s="143"/>
      <c r="B541" s="140"/>
      <c r="C541" s="141"/>
      <c r="D541" s="142"/>
      <c r="E541" s="142"/>
      <c r="F541" s="143"/>
      <c r="G541" s="152"/>
      <c r="H541" s="152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  <c r="Z541" s="143"/>
    </row>
    <row r="542" spans="1:26" ht="18.75">
      <c r="A542" s="143"/>
      <c r="B542" s="140"/>
      <c r="C542" s="141"/>
      <c r="D542" s="142"/>
      <c r="E542" s="142"/>
      <c r="F542" s="143"/>
      <c r="G542" s="150"/>
      <c r="H542" s="150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  <c r="Z542" s="143"/>
    </row>
    <row r="543" spans="1:26" ht="18.75">
      <c r="A543" s="143"/>
      <c r="B543" s="140"/>
      <c r="C543" s="141"/>
      <c r="D543" s="142"/>
      <c r="E543" s="142"/>
      <c r="F543" s="143"/>
      <c r="G543" s="152"/>
      <c r="H543" s="152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  <c r="Z543" s="143"/>
    </row>
    <row r="544" spans="1:26" ht="18.75">
      <c r="A544" s="143"/>
      <c r="B544" s="140"/>
      <c r="C544" s="141"/>
      <c r="D544" s="142"/>
      <c r="E544" s="142"/>
      <c r="F544" s="143"/>
      <c r="G544" s="150"/>
      <c r="H544" s="150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  <c r="Z544" s="143"/>
    </row>
    <row r="545" spans="1:26" ht="18.75">
      <c r="A545" s="143"/>
      <c r="B545" s="140"/>
      <c r="C545" s="141"/>
      <c r="D545" s="142"/>
      <c r="E545" s="142"/>
      <c r="F545" s="143"/>
      <c r="G545" s="152"/>
      <c r="H545" s="152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  <c r="Z545" s="143"/>
    </row>
    <row r="546" spans="1:26" ht="18.75">
      <c r="A546" s="143"/>
      <c r="B546" s="140"/>
      <c r="C546" s="141"/>
      <c r="D546" s="142"/>
      <c r="E546" s="142"/>
      <c r="F546" s="143"/>
      <c r="G546" s="150"/>
      <c r="H546" s="150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</row>
    <row r="547" spans="1:26" ht="18.75">
      <c r="A547" s="143"/>
      <c r="B547" s="140"/>
      <c r="C547" s="141"/>
      <c r="D547" s="142"/>
      <c r="E547" s="142"/>
      <c r="F547" s="143"/>
      <c r="G547" s="152"/>
      <c r="H547" s="152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</row>
    <row r="548" spans="1:26" ht="18.75">
      <c r="A548" s="143"/>
      <c r="B548" s="140"/>
      <c r="C548" s="141"/>
      <c r="D548" s="142"/>
      <c r="E548" s="142"/>
      <c r="F548" s="143"/>
      <c r="G548" s="150"/>
      <c r="H548" s="150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</row>
    <row r="549" spans="1:26" ht="18.75">
      <c r="A549" s="143"/>
      <c r="B549" s="140"/>
      <c r="C549" s="141"/>
      <c r="D549" s="142"/>
      <c r="E549" s="142"/>
      <c r="F549" s="143"/>
      <c r="G549" s="152"/>
      <c r="H549" s="152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</row>
    <row r="550" spans="1:26" ht="18.75">
      <c r="A550" s="143"/>
      <c r="B550" s="140"/>
      <c r="C550" s="141"/>
      <c r="D550" s="142"/>
      <c r="E550" s="142"/>
      <c r="F550" s="143"/>
      <c r="G550" s="150"/>
      <c r="H550" s="150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</row>
    <row r="551" spans="1:26" ht="18.75">
      <c r="A551" s="143"/>
      <c r="B551" s="140"/>
      <c r="C551" s="141"/>
      <c r="D551" s="142"/>
      <c r="E551" s="142"/>
      <c r="F551" s="143"/>
      <c r="G551" s="152"/>
      <c r="H551" s="152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</row>
    <row r="552" spans="1:26" ht="18.75">
      <c r="A552" s="143"/>
      <c r="B552" s="140"/>
      <c r="C552" s="141"/>
      <c r="D552" s="142"/>
      <c r="E552" s="142"/>
      <c r="F552" s="143"/>
      <c r="G552" s="150"/>
      <c r="H552" s="150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  <c r="Z552" s="143"/>
    </row>
    <row r="553" spans="1:26" ht="18.75">
      <c r="A553" s="143"/>
      <c r="B553" s="140"/>
      <c r="C553" s="141"/>
      <c r="D553" s="142"/>
      <c r="E553" s="142"/>
      <c r="F553" s="143"/>
      <c r="G553" s="152"/>
      <c r="H553" s="152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</row>
    <row r="554" spans="1:26" ht="18.75">
      <c r="A554" s="143"/>
      <c r="B554" s="140"/>
      <c r="C554" s="141"/>
      <c r="D554" s="142"/>
      <c r="E554" s="142"/>
      <c r="F554" s="143"/>
      <c r="G554" s="150"/>
      <c r="H554" s="150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</row>
    <row r="555" spans="1:26" ht="18.75">
      <c r="A555" s="143"/>
      <c r="B555" s="140"/>
      <c r="C555" s="141"/>
      <c r="D555" s="142"/>
      <c r="E555" s="142"/>
      <c r="F555" s="143"/>
      <c r="G555" s="152"/>
      <c r="H555" s="152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</row>
    <row r="556" spans="1:26" ht="18.75">
      <c r="A556" s="143"/>
      <c r="B556" s="140"/>
      <c r="C556" s="141"/>
      <c r="D556" s="142"/>
      <c r="E556" s="142"/>
      <c r="F556" s="143"/>
      <c r="G556" s="150"/>
      <c r="H556" s="150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</row>
    <row r="557" spans="1:26" ht="18.75">
      <c r="A557" s="143"/>
      <c r="B557" s="140"/>
      <c r="C557" s="141"/>
      <c r="D557" s="142"/>
      <c r="E557" s="142"/>
      <c r="F557" s="143"/>
      <c r="G557" s="152"/>
      <c r="H557" s="152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</row>
    <row r="558" spans="1:26" ht="18.75">
      <c r="A558" s="143"/>
      <c r="B558" s="140"/>
      <c r="C558" s="141"/>
      <c r="D558" s="142"/>
      <c r="E558" s="142"/>
      <c r="F558" s="143"/>
      <c r="G558" s="150"/>
      <c r="H558" s="150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</row>
    <row r="559" spans="1:26" ht="18.75">
      <c r="A559" s="143"/>
      <c r="B559" s="140"/>
      <c r="C559" s="141"/>
      <c r="D559" s="142"/>
      <c r="E559" s="142"/>
      <c r="F559" s="143"/>
      <c r="G559" s="152"/>
      <c r="H559" s="152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</row>
    <row r="560" spans="1:26" ht="18.75">
      <c r="A560" s="143"/>
      <c r="B560" s="140"/>
      <c r="C560" s="141"/>
      <c r="D560" s="142"/>
      <c r="E560" s="142"/>
      <c r="F560" s="143"/>
      <c r="G560" s="150"/>
      <c r="H560" s="150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</row>
    <row r="561" spans="1:26" ht="18.75">
      <c r="A561" s="143"/>
      <c r="B561" s="140"/>
      <c r="C561" s="141"/>
      <c r="D561" s="142"/>
      <c r="E561" s="142"/>
      <c r="F561" s="143"/>
      <c r="G561" s="152"/>
      <c r="H561" s="152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</row>
    <row r="562" spans="1:26" ht="18.75">
      <c r="A562" s="143"/>
      <c r="B562" s="140"/>
      <c r="C562" s="141"/>
      <c r="D562" s="142"/>
      <c r="E562" s="142"/>
      <c r="F562" s="143"/>
      <c r="G562" s="150"/>
      <c r="H562" s="150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</row>
    <row r="563" spans="1:26" ht="18.75">
      <c r="A563" s="143"/>
      <c r="B563" s="140"/>
      <c r="C563" s="141"/>
      <c r="D563" s="142"/>
      <c r="E563" s="142"/>
      <c r="F563" s="143"/>
      <c r="G563" s="152"/>
      <c r="H563" s="152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</row>
    <row r="564" spans="1:26" ht="18.75">
      <c r="A564" s="143"/>
      <c r="B564" s="140"/>
      <c r="C564" s="141"/>
      <c r="D564" s="142"/>
      <c r="E564" s="142"/>
      <c r="F564" s="143"/>
      <c r="G564" s="150"/>
      <c r="H564" s="150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</row>
    <row r="565" spans="1:26" ht="18.75">
      <c r="A565" s="143"/>
      <c r="B565" s="140"/>
      <c r="C565" s="141"/>
      <c r="D565" s="142"/>
      <c r="E565" s="142"/>
      <c r="F565" s="143"/>
      <c r="G565" s="152"/>
      <c r="H565" s="152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  <c r="Z565" s="143"/>
    </row>
    <row r="566" spans="1:26" ht="18.75">
      <c r="A566" s="143"/>
      <c r="B566" s="140"/>
      <c r="C566" s="141"/>
      <c r="D566" s="142"/>
      <c r="E566" s="142"/>
      <c r="F566" s="143"/>
      <c r="G566" s="150"/>
      <c r="H566" s="150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</row>
    <row r="567" spans="1:26" ht="18.75">
      <c r="A567" s="143"/>
      <c r="B567" s="140"/>
      <c r="C567" s="141"/>
      <c r="D567" s="142"/>
      <c r="E567" s="142"/>
      <c r="F567" s="143"/>
      <c r="G567" s="152"/>
      <c r="H567" s="152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</row>
    <row r="568" spans="1:26" ht="18.75">
      <c r="A568" s="143"/>
      <c r="B568" s="140"/>
      <c r="C568" s="141"/>
      <c r="D568" s="142"/>
      <c r="E568" s="142"/>
      <c r="F568" s="143"/>
      <c r="G568" s="150"/>
      <c r="H568" s="150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</row>
    <row r="569" spans="1:26" ht="18.75">
      <c r="A569" s="143"/>
      <c r="B569" s="140"/>
      <c r="C569" s="141"/>
      <c r="D569" s="142"/>
      <c r="E569" s="142"/>
      <c r="F569" s="143"/>
      <c r="G569" s="152"/>
      <c r="H569" s="152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</row>
    <row r="570" spans="1:26" ht="18.75">
      <c r="A570" s="143"/>
      <c r="B570" s="140"/>
      <c r="C570" s="141"/>
      <c r="D570" s="142"/>
      <c r="E570" s="142"/>
      <c r="F570" s="143"/>
      <c r="G570" s="150"/>
      <c r="H570" s="150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</row>
    <row r="571" spans="1:26" ht="18.75">
      <c r="A571" s="143"/>
      <c r="B571" s="140"/>
      <c r="C571" s="141"/>
      <c r="D571" s="142"/>
      <c r="E571" s="142"/>
      <c r="F571" s="143"/>
      <c r="G571" s="152"/>
      <c r="H571" s="152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</row>
    <row r="572" spans="1:26" ht="18.75">
      <c r="A572" s="143"/>
      <c r="B572" s="140"/>
      <c r="C572" s="141"/>
      <c r="D572" s="142"/>
      <c r="E572" s="142"/>
      <c r="F572" s="143"/>
      <c r="G572" s="150"/>
      <c r="H572" s="150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</row>
    <row r="573" spans="1:26" ht="18.75">
      <c r="A573" s="143"/>
      <c r="B573" s="140"/>
      <c r="C573" s="141"/>
      <c r="D573" s="142"/>
      <c r="E573" s="142"/>
      <c r="F573" s="143"/>
      <c r="G573" s="152"/>
      <c r="H573" s="152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</row>
    <row r="574" spans="1:26" ht="18.75">
      <c r="A574" s="143"/>
      <c r="B574" s="140"/>
      <c r="C574" s="141"/>
      <c r="D574" s="142"/>
      <c r="E574" s="142"/>
      <c r="F574" s="143"/>
      <c r="G574" s="150"/>
      <c r="H574" s="150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</row>
    <row r="575" spans="1:26" ht="18.75">
      <c r="A575" s="143"/>
      <c r="B575" s="140"/>
      <c r="C575" s="141"/>
      <c r="D575" s="142"/>
      <c r="E575" s="142"/>
      <c r="F575" s="143"/>
      <c r="G575" s="152"/>
      <c r="H575" s="152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</row>
    <row r="576" spans="1:26" ht="18.75">
      <c r="A576" s="143"/>
      <c r="B576" s="140"/>
      <c r="C576" s="141"/>
      <c r="D576" s="142"/>
      <c r="E576" s="142"/>
      <c r="F576" s="143"/>
      <c r="G576" s="150"/>
      <c r="H576" s="150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</row>
    <row r="577" spans="1:26" ht="18.75">
      <c r="A577" s="143"/>
      <c r="B577" s="140"/>
      <c r="C577" s="141"/>
      <c r="D577" s="142"/>
      <c r="E577" s="142"/>
      <c r="F577" s="143"/>
      <c r="G577" s="152"/>
      <c r="H577" s="152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</row>
    <row r="578" spans="1:26" ht="18.75">
      <c r="A578" s="143"/>
      <c r="B578" s="140"/>
      <c r="C578" s="141"/>
      <c r="D578" s="142"/>
      <c r="E578" s="142"/>
      <c r="F578" s="143"/>
      <c r="G578" s="150"/>
      <c r="H578" s="150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  <c r="Z578" s="143"/>
    </row>
    <row r="579" spans="1:26" ht="18.75">
      <c r="A579" s="143"/>
      <c r="B579" s="140"/>
      <c r="C579" s="141"/>
      <c r="D579" s="142"/>
      <c r="E579" s="142"/>
      <c r="F579" s="143"/>
      <c r="G579" s="152"/>
      <c r="H579" s="152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</row>
    <row r="580" spans="1:26" ht="18.75">
      <c r="A580" s="143"/>
      <c r="B580" s="140"/>
      <c r="C580" s="141"/>
      <c r="D580" s="142"/>
      <c r="E580" s="142"/>
      <c r="F580" s="143"/>
      <c r="G580" s="150"/>
      <c r="H580" s="150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</row>
    <row r="581" spans="1:26" ht="18.75">
      <c r="A581" s="143"/>
      <c r="B581" s="140"/>
      <c r="C581" s="141"/>
      <c r="D581" s="142"/>
      <c r="E581" s="142"/>
      <c r="F581" s="143"/>
      <c r="G581" s="152"/>
      <c r="H581" s="152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</row>
    <row r="582" spans="1:26" ht="18.75">
      <c r="A582" s="143"/>
      <c r="B582" s="140"/>
      <c r="C582" s="141"/>
      <c r="D582" s="142"/>
      <c r="E582" s="142"/>
      <c r="F582" s="143"/>
      <c r="G582" s="150"/>
      <c r="H582" s="150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</row>
    <row r="583" spans="1:26" ht="18.75">
      <c r="A583" s="143"/>
      <c r="B583" s="140"/>
      <c r="C583" s="141"/>
      <c r="D583" s="142"/>
      <c r="E583" s="142"/>
      <c r="F583" s="143"/>
      <c r="G583" s="152"/>
      <c r="H583" s="152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</row>
    <row r="584" spans="1:26" ht="18.75">
      <c r="A584" s="143"/>
      <c r="B584" s="140"/>
      <c r="C584" s="141"/>
      <c r="D584" s="142"/>
      <c r="E584" s="142"/>
      <c r="F584" s="143"/>
      <c r="G584" s="150"/>
      <c r="H584" s="150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</row>
    <row r="585" spans="1:26" ht="18.75">
      <c r="A585" s="143"/>
      <c r="B585" s="140"/>
      <c r="C585" s="141"/>
      <c r="D585" s="142"/>
      <c r="E585" s="142"/>
      <c r="F585" s="143"/>
      <c r="G585" s="152"/>
      <c r="H585" s="152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</row>
    <row r="586" spans="1:26" ht="18.75">
      <c r="A586" s="143"/>
      <c r="B586" s="140"/>
      <c r="C586" s="141"/>
      <c r="D586" s="142"/>
      <c r="E586" s="142"/>
      <c r="F586" s="143"/>
      <c r="G586" s="150"/>
      <c r="H586" s="150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</row>
    <row r="587" spans="1:26" ht="18.75">
      <c r="A587" s="143"/>
      <c r="B587" s="140"/>
      <c r="C587" s="141"/>
      <c r="D587" s="142"/>
      <c r="E587" s="142"/>
      <c r="F587" s="143"/>
      <c r="G587" s="152"/>
      <c r="H587" s="152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</row>
    <row r="588" spans="1:26" ht="18.75">
      <c r="A588" s="143"/>
      <c r="B588" s="140"/>
      <c r="C588" s="141"/>
      <c r="D588" s="142"/>
      <c r="E588" s="142"/>
      <c r="F588" s="143"/>
      <c r="G588" s="150"/>
      <c r="H588" s="150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</row>
    <row r="589" spans="1:26" ht="18.75">
      <c r="A589" s="143"/>
      <c r="B589" s="140"/>
      <c r="C589" s="141"/>
      <c r="D589" s="142"/>
      <c r="E589" s="142"/>
      <c r="F589" s="143"/>
      <c r="G589" s="152"/>
      <c r="H589" s="152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</row>
    <row r="590" spans="1:26" ht="18.75">
      <c r="A590" s="143"/>
      <c r="B590" s="140"/>
      <c r="C590" s="141"/>
      <c r="D590" s="142"/>
      <c r="E590" s="142"/>
      <c r="F590" s="143"/>
      <c r="G590" s="150"/>
      <c r="H590" s="150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</row>
    <row r="591" spans="1:26" ht="18.75">
      <c r="A591" s="143"/>
      <c r="B591" s="140"/>
      <c r="C591" s="141"/>
      <c r="D591" s="142"/>
      <c r="E591" s="142"/>
      <c r="F591" s="143"/>
      <c r="G591" s="152"/>
      <c r="H591" s="152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  <c r="Z591" s="143"/>
    </row>
    <row r="592" spans="1:26" ht="18.75">
      <c r="A592" s="143"/>
      <c r="B592" s="140"/>
      <c r="C592" s="141"/>
      <c r="D592" s="142"/>
      <c r="E592" s="142"/>
      <c r="F592" s="143"/>
      <c r="G592" s="150"/>
      <c r="H592" s="150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</row>
    <row r="593" spans="1:26" ht="18.75">
      <c r="A593" s="143"/>
      <c r="B593" s="140"/>
      <c r="C593" s="141"/>
      <c r="D593" s="142"/>
      <c r="E593" s="142"/>
      <c r="F593" s="143"/>
      <c r="G593" s="152"/>
      <c r="H593" s="152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</row>
    <row r="594" spans="1:26" ht="18.75">
      <c r="A594" s="143"/>
      <c r="B594" s="140"/>
      <c r="C594" s="141"/>
      <c r="D594" s="142"/>
      <c r="E594" s="142"/>
      <c r="F594" s="143"/>
      <c r="G594" s="150"/>
      <c r="H594" s="150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</row>
    <row r="595" spans="1:26" ht="18.75">
      <c r="A595" s="143"/>
      <c r="B595" s="140"/>
      <c r="C595" s="141"/>
      <c r="D595" s="142"/>
      <c r="E595" s="142"/>
      <c r="F595" s="143"/>
      <c r="G595" s="152"/>
      <c r="H595" s="152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</row>
    <row r="596" spans="1:26" ht="18.75">
      <c r="A596" s="143"/>
      <c r="B596" s="140"/>
      <c r="C596" s="141"/>
      <c r="D596" s="142"/>
      <c r="E596" s="142"/>
      <c r="F596" s="143"/>
      <c r="G596" s="150"/>
      <c r="H596" s="150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</row>
    <row r="597" spans="1:26" ht="18.75">
      <c r="A597" s="143"/>
      <c r="B597" s="140"/>
      <c r="C597" s="141"/>
      <c r="D597" s="142"/>
      <c r="E597" s="142"/>
      <c r="F597" s="143"/>
      <c r="G597" s="152"/>
      <c r="H597" s="152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</row>
    <row r="598" spans="1:26" ht="18.75">
      <c r="A598" s="143"/>
      <c r="B598" s="140"/>
      <c r="C598" s="141"/>
      <c r="D598" s="142"/>
      <c r="E598" s="142"/>
      <c r="F598" s="143"/>
      <c r="G598" s="150"/>
      <c r="H598" s="150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</row>
    <row r="599" spans="1:26" ht="18.75">
      <c r="A599" s="143"/>
      <c r="B599" s="140"/>
      <c r="C599" s="141"/>
      <c r="D599" s="142"/>
      <c r="E599" s="142"/>
      <c r="F599" s="143"/>
      <c r="G599" s="152"/>
      <c r="H599" s="152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</row>
    <row r="600" spans="1:26" ht="18.75">
      <c r="A600" s="143"/>
      <c r="B600" s="140"/>
      <c r="C600" s="141"/>
      <c r="D600" s="142"/>
      <c r="E600" s="142"/>
      <c r="F600" s="143"/>
      <c r="G600" s="150"/>
      <c r="H600" s="150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</row>
    <row r="601" spans="1:26" ht="18.75">
      <c r="A601" s="143"/>
      <c r="B601" s="140"/>
      <c r="C601" s="141"/>
      <c r="D601" s="142"/>
      <c r="E601" s="142"/>
      <c r="F601" s="143"/>
      <c r="G601" s="152"/>
      <c r="H601" s="152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</row>
    <row r="602" spans="1:26" ht="18.75">
      <c r="A602" s="143"/>
      <c r="B602" s="140"/>
      <c r="C602" s="141"/>
      <c r="D602" s="142"/>
      <c r="E602" s="142"/>
      <c r="F602" s="143"/>
      <c r="G602" s="150"/>
      <c r="H602" s="150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</row>
    <row r="603" spans="1:26" ht="18.75">
      <c r="A603" s="143"/>
      <c r="B603" s="140"/>
      <c r="C603" s="141"/>
      <c r="D603" s="142"/>
      <c r="E603" s="142"/>
      <c r="F603" s="143"/>
      <c r="G603" s="152"/>
      <c r="H603" s="152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</row>
    <row r="604" spans="1:26" ht="18.75">
      <c r="A604" s="143"/>
      <c r="B604" s="140"/>
      <c r="C604" s="141"/>
      <c r="D604" s="142"/>
      <c r="E604" s="142"/>
      <c r="F604" s="143"/>
      <c r="G604" s="150"/>
      <c r="H604" s="150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</row>
    <row r="605" spans="1:26" ht="18.75">
      <c r="A605" s="143"/>
      <c r="B605" s="140"/>
      <c r="C605" s="141"/>
      <c r="D605" s="142"/>
      <c r="E605" s="142"/>
      <c r="F605" s="143"/>
      <c r="G605" s="152"/>
      <c r="H605" s="152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</row>
    <row r="606" spans="1:26" ht="18.75">
      <c r="A606" s="143"/>
      <c r="B606" s="140"/>
      <c r="C606" s="141"/>
      <c r="D606" s="142"/>
      <c r="E606" s="142"/>
      <c r="F606" s="143"/>
      <c r="G606" s="150"/>
      <c r="H606" s="150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</row>
    <row r="607" spans="1:26" ht="18.75">
      <c r="A607" s="143"/>
      <c r="B607" s="140"/>
      <c r="C607" s="141"/>
      <c r="D607" s="142"/>
      <c r="E607" s="142"/>
      <c r="F607" s="143"/>
      <c r="G607" s="152"/>
      <c r="H607" s="152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</row>
    <row r="608" spans="1:26" ht="18.75">
      <c r="A608" s="143"/>
      <c r="B608" s="140"/>
      <c r="C608" s="141"/>
      <c r="D608" s="142"/>
      <c r="E608" s="142"/>
      <c r="F608" s="143"/>
      <c r="G608" s="150"/>
      <c r="H608" s="150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</row>
    <row r="609" spans="1:26" ht="18.75">
      <c r="A609" s="143"/>
      <c r="B609" s="140"/>
      <c r="C609" s="141"/>
      <c r="D609" s="142"/>
      <c r="E609" s="142"/>
      <c r="F609" s="143"/>
      <c r="G609" s="152"/>
      <c r="H609" s="152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</row>
    <row r="610" spans="1:26" ht="18.75">
      <c r="A610" s="143"/>
      <c r="B610" s="140"/>
      <c r="C610" s="141"/>
      <c r="D610" s="142"/>
      <c r="E610" s="142"/>
      <c r="F610" s="143"/>
      <c r="G610" s="150"/>
      <c r="H610" s="150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</row>
    <row r="611" spans="1:26" ht="18.75">
      <c r="A611" s="143"/>
      <c r="B611" s="140"/>
      <c r="C611" s="141"/>
      <c r="D611" s="142"/>
      <c r="E611" s="142"/>
      <c r="F611" s="143"/>
      <c r="G611" s="152"/>
      <c r="H611" s="152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</row>
    <row r="612" spans="1:26" ht="18.75">
      <c r="A612" s="143"/>
      <c r="B612" s="140"/>
      <c r="C612" s="141"/>
      <c r="D612" s="142"/>
      <c r="E612" s="142"/>
      <c r="F612" s="143"/>
      <c r="G612" s="150"/>
      <c r="H612" s="150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</row>
    <row r="613" spans="1:26" ht="18.75">
      <c r="A613" s="143"/>
      <c r="B613" s="140"/>
      <c r="C613" s="141"/>
      <c r="D613" s="142"/>
      <c r="E613" s="142"/>
      <c r="F613" s="143"/>
      <c r="G613" s="152"/>
      <c r="H613" s="152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</row>
    <row r="614" spans="1:26" ht="18.75">
      <c r="A614" s="143"/>
      <c r="B614" s="140"/>
      <c r="C614" s="141"/>
      <c r="D614" s="142"/>
      <c r="E614" s="142"/>
      <c r="F614" s="143"/>
      <c r="G614" s="150"/>
      <c r="H614" s="150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</row>
    <row r="615" spans="1:26" ht="18.75">
      <c r="A615" s="143"/>
      <c r="B615" s="140"/>
      <c r="C615" s="141"/>
      <c r="D615" s="142"/>
      <c r="E615" s="142"/>
      <c r="F615" s="143"/>
      <c r="G615" s="152"/>
      <c r="H615" s="152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</row>
    <row r="616" spans="1:26" ht="18.75">
      <c r="A616" s="143"/>
      <c r="B616" s="140"/>
      <c r="C616" s="141"/>
      <c r="D616" s="142"/>
      <c r="E616" s="142"/>
      <c r="F616" s="143"/>
      <c r="G616" s="150"/>
      <c r="H616" s="150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</row>
    <row r="617" spans="1:26" ht="18.75">
      <c r="A617" s="143"/>
      <c r="B617" s="140"/>
      <c r="C617" s="141"/>
      <c r="D617" s="142"/>
      <c r="E617" s="142"/>
      <c r="F617" s="143"/>
      <c r="G617" s="152"/>
      <c r="H617" s="152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</row>
    <row r="618" spans="1:26" ht="18.75">
      <c r="A618" s="143"/>
      <c r="B618" s="140"/>
      <c r="C618" s="141"/>
      <c r="D618" s="142"/>
      <c r="E618" s="142"/>
      <c r="F618" s="143"/>
      <c r="G618" s="150"/>
      <c r="H618" s="150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</row>
    <row r="619" spans="1:26" ht="18.75">
      <c r="A619" s="143"/>
      <c r="B619" s="140"/>
      <c r="C619" s="141"/>
      <c r="D619" s="142"/>
      <c r="E619" s="142"/>
      <c r="F619" s="143"/>
      <c r="G619" s="152"/>
      <c r="H619" s="152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</row>
    <row r="620" spans="1:26" ht="18.75">
      <c r="A620" s="143"/>
      <c r="B620" s="140"/>
      <c r="C620" s="141"/>
      <c r="D620" s="142"/>
      <c r="E620" s="142"/>
      <c r="F620" s="143"/>
      <c r="G620" s="150"/>
      <c r="H620" s="150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</row>
    <row r="621" spans="1:26" ht="18.75">
      <c r="A621" s="143"/>
      <c r="B621" s="140"/>
      <c r="C621" s="141"/>
      <c r="D621" s="142"/>
      <c r="E621" s="142"/>
      <c r="F621" s="143"/>
      <c r="G621" s="152"/>
      <c r="H621" s="152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</row>
    <row r="622" spans="1:26" ht="18.75">
      <c r="A622" s="143"/>
      <c r="B622" s="140"/>
      <c r="C622" s="141"/>
      <c r="D622" s="142"/>
      <c r="E622" s="142"/>
      <c r="F622" s="143"/>
      <c r="G622" s="150"/>
      <c r="H622" s="150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</row>
    <row r="623" spans="1:26" ht="18.75">
      <c r="A623" s="143"/>
      <c r="B623" s="140"/>
      <c r="C623" s="141"/>
      <c r="D623" s="142"/>
      <c r="E623" s="142"/>
      <c r="F623" s="143"/>
      <c r="G623" s="152"/>
      <c r="H623" s="152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</row>
    <row r="624" spans="1:26" ht="18.75">
      <c r="A624" s="143"/>
      <c r="B624" s="140"/>
      <c r="C624" s="141"/>
      <c r="D624" s="142"/>
      <c r="E624" s="142"/>
      <c r="F624" s="143"/>
      <c r="G624" s="150"/>
      <c r="H624" s="150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</row>
    <row r="625" spans="1:26" ht="18.75">
      <c r="A625" s="143"/>
      <c r="B625" s="140"/>
      <c r="C625" s="141"/>
      <c r="D625" s="142"/>
      <c r="E625" s="142"/>
      <c r="F625" s="143"/>
      <c r="G625" s="152"/>
      <c r="H625" s="152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</row>
    <row r="626" spans="1:26" ht="18.75">
      <c r="A626" s="143"/>
      <c r="B626" s="140"/>
      <c r="C626" s="141"/>
      <c r="D626" s="142"/>
      <c r="E626" s="142"/>
      <c r="F626" s="143"/>
      <c r="G626" s="150"/>
      <c r="H626" s="150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</row>
    <row r="627" spans="1:26" ht="18.75">
      <c r="A627" s="143"/>
      <c r="B627" s="140"/>
      <c r="C627" s="141"/>
      <c r="D627" s="142"/>
      <c r="E627" s="142"/>
      <c r="F627" s="143"/>
      <c r="G627" s="152"/>
      <c r="H627" s="152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</row>
    <row r="628" spans="1:26" ht="18.75">
      <c r="A628" s="143"/>
      <c r="B628" s="140"/>
      <c r="C628" s="141"/>
      <c r="D628" s="142"/>
      <c r="E628" s="142"/>
      <c r="F628" s="143"/>
      <c r="G628" s="150"/>
      <c r="H628" s="150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</row>
    <row r="629" spans="1:26" ht="18.75">
      <c r="A629" s="143"/>
      <c r="B629" s="140"/>
      <c r="C629" s="141"/>
      <c r="D629" s="142"/>
      <c r="E629" s="142"/>
      <c r="F629" s="143"/>
      <c r="G629" s="152"/>
      <c r="H629" s="152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</row>
    <row r="630" spans="1:26" ht="18.75">
      <c r="A630" s="143"/>
      <c r="B630" s="140"/>
      <c r="C630" s="141"/>
      <c r="D630" s="142"/>
      <c r="E630" s="142"/>
      <c r="F630" s="143"/>
      <c r="G630" s="150"/>
      <c r="H630" s="150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</row>
    <row r="631" spans="1:26" ht="18.75">
      <c r="A631" s="143"/>
      <c r="B631" s="140"/>
      <c r="C631" s="141"/>
      <c r="D631" s="142"/>
      <c r="E631" s="142"/>
      <c r="F631" s="143"/>
      <c r="G631" s="152"/>
      <c r="H631" s="152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</row>
    <row r="632" spans="1:26" ht="18.75">
      <c r="A632" s="143"/>
      <c r="B632" s="140"/>
      <c r="C632" s="141"/>
      <c r="D632" s="142"/>
      <c r="E632" s="142"/>
      <c r="F632" s="143"/>
      <c r="G632" s="150"/>
      <c r="H632" s="150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</row>
    <row r="633" spans="1:26" ht="18.75">
      <c r="A633" s="143"/>
      <c r="B633" s="140"/>
      <c r="C633" s="141"/>
      <c r="D633" s="142"/>
      <c r="E633" s="142"/>
      <c r="F633" s="143"/>
      <c r="G633" s="152"/>
      <c r="H633" s="152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</row>
    <row r="634" spans="1:26" ht="18.75">
      <c r="A634" s="143"/>
      <c r="B634" s="140"/>
      <c r="C634" s="141"/>
      <c r="D634" s="142"/>
      <c r="E634" s="142"/>
      <c r="F634" s="143"/>
      <c r="G634" s="150"/>
      <c r="H634" s="150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</row>
    <row r="635" spans="1:26" ht="18.75">
      <c r="A635" s="143"/>
      <c r="B635" s="140"/>
      <c r="C635" s="141"/>
      <c r="D635" s="142"/>
      <c r="E635" s="142"/>
      <c r="F635" s="143"/>
      <c r="G635" s="152"/>
      <c r="H635" s="152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</row>
    <row r="636" spans="1:26" ht="18.75">
      <c r="A636" s="143"/>
      <c r="B636" s="140"/>
      <c r="C636" s="141"/>
      <c r="D636" s="142"/>
      <c r="E636" s="142"/>
      <c r="F636" s="143"/>
      <c r="G636" s="150"/>
      <c r="H636" s="150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</row>
    <row r="637" spans="1:26" ht="18.75">
      <c r="A637" s="143"/>
      <c r="B637" s="140"/>
      <c r="C637" s="141"/>
      <c r="D637" s="142"/>
      <c r="E637" s="142"/>
      <c r="F637" s="143"/>
      <c r="G637" s="152"/>
      <c r="H637" s="152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</row>
    <row r="638" spans="1:26" ht="18.75">
      <c r="A638" s="143"/>
      <c r="B638" s="140"/>
      <c r="C638" s="141"/>
      <c r="D638" s="142"/>
      <c r="E638" s="142"/>
      <c r="F638" s="143"/>
      <c r="G638" s="150"/>
      <c r="H638" s="150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</row>
    <row r="639" spans="1:26" ht="18.75">
      <c r="A639" s="143"/>
      <c r="B639" s="140"/>
      <c r="C639" s="141"/>
      <c r="D639" s="142"/>
      <c r="E639" s="142"/>
      <c r="F639" s="143"/>
      <c r="G639" s="152"/>
      <c r="H639" s="152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</row>
    <row r="640" spans="1:26" ht="18.75">
      <c r="A640" s="143"/>
      <c r="B640" s="140"/>
      <c r="C640" s="141"/>
      <c r="D640" s="142"/>
      <c r="E640" s="142"/>
      <c r="F640" s="143"/>
      <c r="G640" s="150"/>
      <c r="H640" s="150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</row>
    <row r="641" spans="1:26" ht="18.75">
      <c r="A641" s="143"/>
      <c r="B641" s="140"/>
      <c r="C641" s="141"/>
      <c r="D641" s="142"/>
      <c r="E641" s="142"/>
      <c r="F641" s="143"/>
      <c r="G641" s="152"/>
      <c r="H641" s="152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</row>
    <row r="642" spans="1:26" ht="18.75">
      <c r="A642" s="143"/>
      <c r="B642" s="140"/>
      <c r="C642" s="141"/>
      <c r="D642" s="142"/>
      <c r="E642" s="142"/>
      <c r="F642" s="143"/>
      <c r="G642" s="150"/>
      <c r="H642" s="150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</row>
    <row r="643" spans="1:26" ht="18.75">
      <c r="A643" s="143"/>
      <c r="B643" s="140"/>
      <c r="C643" s="141"/>
      <c r="D643" s="142"/>
      <c r="E643" s="142"/>
      <c r="F643" s="143"/>
      <c r="G643" s="152"/>
      <c r="H643" s="152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</row>
    <row r="644" spans="1:26" ht="18.75">
      <c r="A644" s="143"/>
      <c r="B644" s="140"/>
      <c r="C644" s="141"/>
      <c r="D644" s="142"/>
      <c r="E644" s="142"/>
      <c r="F644" s="143"/>
      <c r="G644" s="150"/>
      <c r="H644" s="150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</row>
    <row r="645" spans="1:26" ht="18.75">
      <c r="A645" s="143"/>
      <c r="B645" s="140"/>
      <c r="C645" s="141"/>
      <c r="D645" s="142"/>
      <c r="E645" s="142"/>
      <c r="F645" s="143"/>
      <c r="G645" s="152"/>
      <c r="H645" s="152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</row>
    <row r="646" spans="1:26" ht="18.75">
      <c r="A646" s="143"/>
      <c r="B646" s="140"/>
      <c r="C646" s="141"/>
      <c r="D646" s="142"/>
      <c r="E646" s="142"/>
      <c r="F646" s="143"/>
      <c r="G646" s="150"/>
      <c r="H646" s="150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</row>
    <row r="647" spans="1:26" ht="18.75">
      <c r="A647" s="143"/>
      <c r="B647" s="140"/>
      <c r="C647" s="141"/>
      <c r="D647" s="142"/>
      <c r="E647" s="142"/>
      <c r="F647" s="143"/>
      <c r="G647" s="152"/>
      <c r="H647" s="152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</row>
    <row r="648" spans="1:26" ht="18.75">
      <c r="A648" s="143"/>
      <c r="B648" s="140"/>
      <c r="C648" s="141"/>
      <c r="D648" s="142"/>
      <c r="E648" s="142"/>
      <c r="F648" s="143"/>
      <c r="G648" s="150"/>
      <c r="H648" s="150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</row>
    <row r="649" spans="1:26" ht="18.75">
      <c r="A649" s="143"/>
      <c r="B649" s="140"/>
      <c r="C649" s="141"/>
      <c r="D649" s="142"/>
      <c r="E649" s="142"/>
      <c r="F649" s="143"/>
      <c r="G649" s="152"/>
      <c r="H649" s="152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</row>
    <row r="650" spans="1:26" ht="18.75">
      <c r="A650" s="143"/>
      <c r="B650" s="140"/>
      <c r="C650" s="141"/>
      <c r="D650" s="142"/>
      <c r="E650" s="142"/>
      <c r="F650" s="143"/>
      <c r="G650" s="150"/>
      <c r="H650" s="150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</row>
    <row r="651" spans="1:26" ht="18.75">
      <c r="A651" s="143"/>
      <c r="B651" s="140"/>
      <c r="C651" s="141"/>
      <c r="D651" s="142"/>
      <c r="E651" s="142"/>
      <c r="F651" s="143"/>
      <c r="G651" s="152"/>
      <c r="H651" s="152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</row>
    <row r="652" spans="1:26" ht="18.75">
      <c r="A652" s="143"/>
      <c r="B652" s="140"/>
      <c r="C652" s="141"/>
      <c r="D652" s="142"/>
      <c r="E652" s="142"/>
      <c r="F652" s="143"/>
      <c r="G652" s="150"/>
      <c r="H652" s="150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</row>
    <row r="653" spans="1:26" ht="18.75">
      <c r="A653" s="143"/>
      <c r="B653" s="140"/>
      <c r="C653" s="141"/>
      <c r="D653" s="142"/>
      <c r="E653" s="142"/>
      <c r="F653" s="143"/>
      <c r="G653" s="152"/>
      <c r="H653" s="152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</row>
    <row r="654" spans="1:26" ht="18.75">
      <c r="A654" s="143"/>
      <c r="B654" s="140"/>
      <c r="C654" s="141"/>
      <c r="D654" s="142"/>
      <c r="E654" s="142"/>
      <c r="F654" s="143"/>
      <c r="G654" s="150"/>
      <c r="H654" s="150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</row>
    <row r="655" spans="1:26" ht="18.75">
      <c r="A655" s="143"/>
      <c r="B655" s="140"/>
      <c r="C655" s="141"/>
      <c r="D655" s="142"/>
      <c r="E655" s="142"/>
      <c r="F655" s="143"/>
      <c r="G655" s="152"/>
      <c r="H655" s="152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</row>
    <row r="656" spans="1:26" ht="18.75">
      <c r="A656" s="143"/>
      <c r="B656" s="140"/>
      <c r="C656" s="141"/>
      <c r="D656" s="142"/>
      <c r="E656" s="142"/>
      <c r="F656" s="143"/>
      <c r="G656" s="150"/>
      <c r="H656" s="150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</row>
    <row r="657" spans="1:26" ht="18.75">
      <c r="A657" s="143"/>
      <c r="B657" s="140"/>
      <c r="C657" s="141"/>
      <c r="D657" s="142"/>
      <c r="E657" s="142"/>
      <c r="F657" s="143"/>
      <c r="G657" s="152"/>
      <c r="H657" s="152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</row>
    <row r="658" spans="1:26" ht="18.75">
      <c r="A658" s="143"/>
      <c r="B658" s="140"/>
      <c r="C658" s="141"/>
      <c r="D658" s="142"/>
      <c r="E658" s="142"/>
      <c r="F658" s="143"/>
      <c r="G658" s="150"/>
      <c r="H658" s="150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</row>
    <row r="659" spans="1:26" ht="18.75">
      <c r="A659" s="143"/>
      <c r="B659" s="140"/>
      <c r="C659" s="141"/>
      <c r="D659" s="142"/>
      <c r="E659" s="142"/>
      <c r="F659" s="143"/>
      <c r="G659" s="152"/>
      <c r="H659" s="152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</row>
    <row r="660" spans="1:26" ht="18.75">
      <c r="A660" s="143"/>
      <c r="B660" s="140"/>
      <c r="C660" s="141"/>
      <c r="D660" s="142"/>
      <c r="E660" s="142"/>
      <c r="F660" s="143"/>
      <c r="G660" s="150"/>
      <c r="H660" s="150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</row>
    <row r="661" spans="1:26" ht="18.75">
      <c r="A661" s="143"/>
      <c r="B661" s="140"/>
      <c r="C661" s="141"/>
      <c r="D661" s="142"/>
      <c r="E661" s="142"/>
      <c r="F661" s="143"/>
      <c r="G661" s="152"/>
      <c r="H661" s="152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</row>
    <row r="662" spans="1:26" ht="18.75">
      <c r="A662" s="143"/>
      <c r="B662" s="140"/>
      <c r="C662" s="141"/>
      <c r="D662" s="142"/>
      <c r="E662" s="142"/>
      <c r="F662" s="143"/>
      <c r="G662" s="150"/>
      <c r="H662" s="150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</row>
    <row r="663" spans="1:26" ht="18.75">
      <c r="A663" s="143"/>
      <c r="B663" s="140"/>
      <c r="C663" s="141"/>
      <c r="D663" s="142"/>
      <c r="E663" s="142"/>
      <c r="F663" s="143"/>
      <c r="G663" s="152"/>
      <c r="H663" s="152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</row>
    <row r="664" spans="1:26" ht="18.75">
      <c r="A664" s="143"/>
      <c r="B664" s="140"/>
      <c r="C664" s="141"/>
      <c r="D664" s="142"/>
      <c r="E664" s="142"/>
      <c r="F664" s="143"/>
      <c r="G664" s="150"/>
      <c r="H664" s="150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</row>
    <row r="665" spans="1:26" ht="18.75">
      <c r="A665" s="143"/>
      <c r="B665" s="140"/>
      <c r="C665" s="141"/>
      <c r="D665" s="142"/>
      <c r="E665" s="142"/>
      <c r="F665" s="143"/>
      <c r="G665" s="152"/>
      <c r="H665" s="152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</row>
    <row r="666" spans="1:26" ht="18.75">
      <c r="A666" s="143"/>
      <c r="B666" s="140"/>
      <c r="C666" s="141"/>
      <c r="D666" s="142"/>
      <c r="E666" s="142"/>
      <c r="F666" s="143"/>
      <c r="G666" s="150"/>
      <c r="H666" s="150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</row>
    <row r="667" spans="1:26" ht="18.75">
      <c r="A667" s="143"/>
      <c r="B667" s="140"/>
      <c r="C667" s="141"/>
      <c r="D667" s="142"/>
      <c r="E667" s="142"/>
      <c r="F667" s="143"/>
      <c r="G667" s="152"/>
      <c r="H667" s="152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</row>
    <row r="668" spans="1:26" ht="18.75">
      <c r="A668" s="143"/>
      <c r="B668" s="140"/>
      <c r="C668" s="141"/>
      <c r="D668" s="142"/>
      <c r="E668" s="142"/>
      <c r="F668" s="143"/>
      <c r="G668" s="150"/>
      <c r="H668" s="150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</row>
    <row r="669" spans="1:26" ht="18.75">
      <c r="A669" s="143"/>
      <c r="B669" s="140"/>
      <c r="C669" s="141"/>
      <c r="D669" s="142"/>
      <c r="E669" s="142"/>
      <c r="F669" s="143"/>
      <c r="G669" s="152"/>
      <c r="H669" s="152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</row>
    <row r="670" spans="1:26" ht="18.75">
      <c r="A670" s="143"/>
      <c r="B670" s="140"/>
      <c r="C670" s="141"/>
      <c r="D670" s="142"/>
      <c r="E670" s="142"/>
      <c r="F670" s="143"/>
      <c r="G670" s="150"/>
      <c r="H670" s="150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</row>
    <row r="671" spans="1:26" ht="18.75">
      <c r="A671" s="143"/>
      <c r="B671" s="140"/>
      <c r="C671" s="141"/>
      <c r="D671" s="142"/>
      <c r="E671" s="142"/>
      <c r="F671" s="143"/>
      <c r="G671" s="152"/>
      <c r="H671" s="152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</row>
    <row r="672" spans="1:26" ht="18.75">
      <c r="A672" s="143"/>
      <c r="B672" s="140"/>
      <c r="C672" s="141"/>
      <c r="D672" s="142"/>
      <c r="E672" s="142"/>
      <c r="F672" s="143"/>
      <c r="G672" s="150"/>
      <c r="H672" s="150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</row>
    <row r="673" spans="1:26" ht="18.75">
      <c r="A673" s="143"/>
      <c r="B673" s="140"/>
      <c r="C673" s="141"/>
      <c r="D673" s="142"/>
      <c r="E673" s="142"/>
      <c r="F673" s="143"/>
      <c r="G673" s="152"/>
      <c r="H673" s="152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</row>
    <row r="674" spans="1:26" ht="18.75">
      <c r="A674" s="143"/>
      <c r="B674" s="140"/>
      <c r="C674" s="141"/>
      <c r="D674" s="142"/>
      <c r="E674" s="142"/>
      <c r="F674" s="143"/>
      <c r="G674" s="150"/>
      <c r="H674" s="150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</row>
    <row r="675" spans="1:26" ht="18.75">
      <c r="A675" s="143"/>
      <c r="B675" s="140"/>
      <c r="C675" s="141"/>
      <c r="D675" s="142"/>
      <c r="E675" s="142"/>
      <c r="F675" s="143"/>
      <c r="G675" s="152"/>
      <c r="H675" s="152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</row>
    <row r="676" spans="1:26" ht="18.75">
      <c r="A676" s="143"/>
      <c r="B676" s="140"/>
      <c r="C676" s="141"/>
      <c r="D676" s="142"/>
      <c r="E676" s="142"/>
      <c r="F676" s="143"/>
      <c r="G676" s="150"/>
      <c r="H676" s="150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</row>
    <row r="677" spans="1:26" ht="18.75">
      <c r="A677" s="143"/>
      <c r="B677" s="140"/>
      <c r="C677" s="141"/>
      <c r="D677" s="142"/>
      <c r="E677" s="142"/>
      <c r="F677" s="143"/>
      <c r="G677" s="152"/>
      <c r="H677" s="152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</row>
    <row r="678" spans="1:26" ht="18.75">
      <c r="A678" s="143"/>
      <c r="B678" s="140"/>
      <c r="C678" s="141"/>
      <c r="D678" s="142"/>
      <c r="E678" s="142"/>
      <c r="F678" s="143"/>
      <c r="G678" s="150"/>
      <c r="H678" s="150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</row>
    <row r="679" spans="1:26" ht="18.75">
      <c r="A679" s="143"/>
      <c r="B679" s="140"/>
      <c r="C679" s="141"/>
      <c r="D679" s="142"/>
      <c r="E679" s="142"/>
      <c r="F679" s="143"/>
      <c r="G679" s="152"/>
      <c r="H679" s="152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</row>
    <row r="680" spans="1:26" ht="18.75">
      <c r="A680" s="143"/>
      <c r="B680" s="140"/>
      <c r="C680" s="141"/>
      <c r="D680" s="142"/>
      <c r="E680" s="142"/>
      <c r="F680" s="143"/>
      <c r="G680" s="150"/>
      <c r="H680" s="150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</row>
    <row r="681" spans="1:26" ht="18.75">
      <c r="A681" s="143"/>
      <c r="B681" s="140"/>
      <c r="C681" s="141"/>
      <c r="D681" s="142"/>
      <c r="E681" s="142"/>
      <c r="F681" s="143"/>
      <c r="G681" s="152"/>
      <c r="H681" s="152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</row>
    <row r="682" spans="1:26" ht="18.75">
      <c r="A682" s="143"/>
      <c r="B682" s="140"/>
      <c r="C682" s="141"/>
      <c r="D682" s="142"/>
      <c r="E682" s="142"/>
      <c r="F682" s="143"/>
      <c r="G682" s="150"/>
      <c r="H682" s="150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</row>
    <row r="683" spans="1:26" ht="18.75">
      <c r="A683" s="143"/>
      <c r="B683" s="140"/>
      <c r="C683" s="141"/>
      <c r="D683" s="142"/>
      <c r="E683" s="142"/>
      <c r="F683" s="143"/>
      <c r="G683" s="152"/>
      <c r="H683" s="152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</row>
    <row r="684" spans="1:26" ht="18.75">
      <c r="A684" s="143"/>
      <c r="B684" s="140"/>
      <c r="C684" s="141"/>
      <c r="D684" s="142"/>
      <c r="E684" s="142"/>
      <c r="F684" s="143"/>
      <c r="G684" s="150"/>
      <c r="H684" s="150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</row>
    <row r="685" spans="1:26" ht="18.75">
      <c r="A685" s="143"/>
      <c r="B685" s="140"/>
      <c r="C685" s="141"/>
      <c r="D685" s="142"/>
      <c r="E685" s="142"/>
      <c r="F685" s="143"/>
      <c r="G685" s="152"/>
      <c r="H685" s="152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</row>
    <row r="686" spans="1:26" ht="18.75">
      <c r="A686" s="143"/>
      <c r="B686" s="140"/>
      <c r="C686" s="141"/>
      <c r="D686" s="142"/>
      <c r="E686" s="142"/>
      <c r="F686" s="143"/>
      <c r="G686" s="150"/>
      <c r="H686" s="150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</row>
    <row r="687" spans="1:26" ht="18.75">
      <c r="A687" s="143"/>
      <c r="B687" s="140"/>
      <c r="C687" s="141"/>
      <c r="D687" s="142"/>
      <c r="E687" s="142"/>
      <c r="F687" s="143"/>
      <c r="G687" s="152"/>
      <c r="H687" s="152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</row>
    <row r="688" spans="1:26" ht="18.75">
      <c r="A688" s="143"/>
      <c r="B688" s="140"/>
      <c r="C688" s="141"/>
      <c r="D688" s="142"/>
      <c r="E688" s="142"/>
      <c r="F688" s="143"/>
      <c r="G688" s="150"/>
      <c r="H688" s="150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</row>
    <row r="689" spans="1:26" ht="18.75">
      <c r="A689" s="143"/>
      <c r="B689" s="140"/>
      <c r="C689" s="141"/>
      <c r="D689" s="142"/>
      <c r="E689" s="142"/>
      <c r="F689" s="143"/>
      <c r="G689" s="152"/>
      <c r="H689" s="152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</row>
    <row r="690" spans="1:26" ht="18.75">
      <c r="A690" s="143"/>
      <c r="B690" s="140"/>
      <c r="C690" s="141"/>
      <c r="D690" s="142"/>
      <c r="E690" s="142"/>
      <c r="F690" s="143"/>
      <c r="G690" s="150"/>
      <c r="H690" s="150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</row>
    <row r="691" spans="1:26" ht="18.75">
      <c r="A691" s="143"/>
      <c r="B691" s="140"/>
      <c r="C691" s="141"/>
      <c r="D691" s="142"/>
      <c r="E691" s="142"/>
      <c r="F691" s="143"/>
      <c r="G691" s="152"/>
      <c r="H691" s="152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</row>
    <row r="692" spans="1:26" ht="18.75">
      <c r="A692" s="143"/>
      <c r="B692" s="140"/>
      <c r="C692" s="141"/>
      <c r="D692" s="142"/>
      <c r="E692" s="142"/>
      <c r="F692" s="143"/>
      <c r="G692" s="150"/>
      <c r="H692" s="150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</row>
    <row r="693" spans="1:26" ht="18.75">
      <c r="A693" s="143"/>
      <c r="B693" s="140"/>
      <c r="C693" s="141"/>
      <c r="D693" s="142"/>
      <c r="E693" s="142"/>
      <c r="F693" s="143"/>
      <c r="G693" s="152"/>
      <c r="H693" s="152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</row>
    <row r="694" spans="1:26" ht="18.75">
      <c r="A694" s="143"/>
      <c r="B694" s="140"/>
      <c r="C694" s="141"/>
      <c r="D694" s="142"/>
      <c r="E694" s="142"/>
      <c r="F694" s="143"/>
      <c r="G694" s="150"/>
      <c r="H694" s="150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</row>
    <row r="695" spans="1:26" ht="18.75">
      <c r="A695" s="143"/>
      <c r="B695" s="140"/>
      <c r="C695" s="141"/>
      <c r="D695" s="142"/>
      <c r="E695" s="142"/>
      <c r="F695" s="143"/>
      <c r="G695" s="152"/>
      <c r="H695" s="152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</row>
    <row r="696" spans="1:26" ht="18.75">
      <c r="A696" s="143"/>
      <c r="B696" s="140"/>
      <c r="C696" s="141"/>
      <c r="D696" s="142"/>
      <c r="E696" s="142"/>
      <c r="F696" s="143"/>
      <c r="G696" s="150"/>
      <c r="H696" s="150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</row>
    <row r="697" spans="1:26" ht="18.75">
      <c r="A697" s="143"/>
      <c r="B697" s="140"/>
      <c r="C697" s="141"/>
      <c r="D697" s="142"/>
      <c r="E697" s="142"/>
      <c r="F697" s="143"/>
      <c r="G697" s="152"/>
      <c r="H697" s="152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</row>
    <row r="698" spans="1:26" ht="18.75">
      <c r="A698" s="143"/>
      <c r="B698" s="140"/>
      <c r="C698" s="141"/>
      <c r="D698" s="142"/>
      <c r="E698" s="142"/>
      <c r="F698" s="143"/>
      <c r="G698" s="150"/>
      <c r="H698" s="150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</row>
    <row r="699" spans="1:26" ht="18.75">
      <c r="A699" s="143"/>
      <c r="B699" s="140"/>
      <c r="C699" s="141"/>
      <c r="D699" s="142"/>
      <c r="E699" s="142"/>
      <c r="F699" s="143"/>
      <c r="G699" s="152"/>
      <c r="H699" s="152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</row>
    <row r="700" spans="1:26" ht="18.75">
      <c r="A700" s="143"/>
      <c r="B700" s="140"/>
      <c r="C700" s="141"/>
      <c r="D700" s="142"/>
      <c r="E700" s="142"/>
      <c r="F700" s="143"/>
      <c r="G700" s="150"/>
      <c r="H700" s="150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</row>
    <row r="701" spans="1:26" ht="18.75">
      <c r="A701" s="143"/>
      <c r="B701" s="140"/>
      <c r="C701" s="141"/>
      <c r="D701" s="142"/>
      <c r="E701" s="142"/>
      <c r="F701" s="143"/>
      <c r="G701" s="152"/>
      <c r="H701" s="152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</row>
    <row r="702" spans="1:26" ht="18.75">
      <c r="A702" s="143"/>
      <c r="B702" s="140"/>
      <c r="C702" s="141"/>
      <c r="D702" s="142"/>
      <c r="E702" s="142"/>
      <c r="F702" s="143"/>
      <c r="G702" s="150"/>
      <c r="H702" s="150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</row>
    <row r="703" spans="1:26" ht="18.75">
      <c r="A703" s="143"/>
      <c r="B703" s="140"/>
      <c r="C703" s="141"/>
      <c r="D703" s="142"/>
      <c r="E703" s="142"/>
      <c r="F703" s="143"/>
      <c r="G703" s="152"/>
      <c r="H703" s="152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</row>
    <row r="704" spans="1:26" ht="18.75">
      <c r="A704" s="143"/>
      <c r="B704" s="140"/>
      <c r="C704" s="141"/>
      <c r="D704" s="142"/>
      <c r="E704" s="142"/>
      <c r="F704" s="143"/>
      <c r="G704" s="150"/>
      <c r="H704" s="150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</row>
    <row r="705" spans="1:26" ht="18.75">
      <c r="A705" s="143"/>
      <c r="B705" s="140"/>
      <c r="C705" s="141"/>
      <c r="D705" s="142"/>
      <c r="E705" s="142"/>
      <c r="F705" s="143"/>
      <c r="G705" s="152"/>
      <c r="H705" s="152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</row>
    <row r="706" spans="1:26" ht="18.75">
      <c r="A706" s="143"/>
      <c r="B706" s="140"/>
      <c r="C706" s="141"/>
      <c r="D706" s="142"/>
      <c r="E706" s="142"/>
      <c r="F706" s="143"/>
      <c r="G706" s="150"/>
      <c r="H706" s="150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</row>
    <row r="707" spans="1:26" ht="18.75">
      <c r="A707" s="143"/>
      <c r="B707" s="140"/>
      <c r="C707" s="141"/>
      <c r="D707" s="142"/>
      <c r="E707" s="142"/>
      <c r="F707" s="143"/>
      <c r="G707" s="152"/>
      <c r="H707" s="152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</row>
    <row r="708" spans="1:26" ht="18.75">
      <c r="A708" s="143"/>
      <c r="B708" s="140"/>
      <c r="C708" s="141"/>
      <c r="D708" s="142"/>
      <c r="E708" s="142"/>
      <c r="F708" s="143"/>
      <c r="G708" s="150"/>
      <c r="H708" s="150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</row>
    <row r="709" spans="1:26" ht="18.75">
      <c r="A709" s="143"/>
      <c r="B709" s="140"/>
      <c r="C709" s="141"/>
      <c r="D709" s="142"/>
      <c r="E709" s="142"/>
      <c r="F709" s="143"/>
      <c r="G709" s="152"/>
      <c r="H709" s="152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</row>
    <row r="710" spans="1:26" ht="18.75">
      <c r="A710" s="143"/>
      <c r="B710" s="140"/>
      <c r="C710" s="141"/>
      <c r="D710" s="142"/>
      <c r="E710" s="142"/>
      <c r="F710" s="143"/>
      <c r="G710" s="150"/>
      <c r="H710" s="150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</row>
    <row r="711" spans="1:26" ht="18.75">
      <c r="A711" s="143"/>
      <c r="B711" s="140"/>
      <c r="C711" s="141"/>
      <c r="D711" s="142"/>
      <c r="E711" s="142"/>
      <c r="F711" s="143"/>
      <c r="G711" s="152"/>
      <c r="H711" s="152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</row>
    <row r="712" spans="1:26" ht="18.75">
      <c r="A712" s="143"/>
      <c r="B712" s="140"/>
      <c r="C712" s="141"/>
      <c r="D712" s="142"/>
      <c r="E712" s="142"/>
      <c r="F712" s="143"/>
      <c r="G712" s="150"/>
      <c r="H712" s="150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</row>
    <row r="713" spans="1:26" ht="18.75">
      <c r="A713" s="143"/>
      <c r="B713" s="140"/>
      <c r="C713" s="141"/>
      <c r="D713" s="142"/>
      <c r="E713" s="142"/>
      <c r="F713" s="143"/>
      <c r="G713" s="152"/>
      <c r="H713" s="152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</row>
    <row r="714" spans="1:26" ht="18.75">
      <c r="A714" s="143"/>
      <c r="B714" s="140"/>
      <c r="C714" s="141"/>
      <c r="D714" s="142"/>
      <c r="E714" s="142"/>
      <c r="F714" s="143"/>
      <c r="G714" s="150"/>
      <c r="H714" s="150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</row>
    <row r="715" spans="1:26" ht="18.75">
      <c r="A715" s="143"/>
      <c r="B715" s="140"/>
      <c r="C715" s="141"/>
      <c r="D715" s="142"/>
      <c r="E715" s="142"/>
      <c r="F715" s="143"/>
      <c r="G715" s="152"/>
      <c r="H715" s="152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</row>
    <row r="716" spans="1:26" ht="18.75">
      <c r="A716" s="143"/>
      <c r="B716" s="140"/>
      <c r="C716" s="141"/>
      <c r="D716" s="142"/>
      <c r="E716" s="142"/>
      <c r="F716" s="143"/>
      <c r="G716" s="150"/>
      <c r="H716" s="150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</row>
    <row r="717" spans="1:26" ht="18.75">
      <c r="A717" s="143"/>
      <c r="B717" s="140"/>
      <c r="C717" s="141"/>
      <c r="D717" s="142"/>
      <c r="E717" s="142"/>
      <c r="F717" s="143"/>
      <c r="G717" s="152"/>
      <c r="H717" s="152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</row>
    <row r="718" spans="1:26" ht="18.75">
      <c r="A718" s="143"/>
      <c r="B718" s="140"/>
      <c r="C718" s="141"/>
      <c r="D718" s="142"/>
      <c r="E718" s="142"/>
      <c r="F718" s="143"/>
      <c r="G718" s="150"/>
      <c r="H718" s="150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</row>
    <row r="719" spans="1:26" ht="18.75">
      <c r="A719" s="143"/>
      <c r="B719" s="140"/>
      <c r="C719" s="141"/>
      <c r="D719" s="142"/>
      <c r="E719" s="142"/>
      <c r="F719" s="143"/>
      <c r="G719" s="152"/>
      <c r="H719" s="152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</row>
    <row r="720" spans="1:26" ht="18.75">
      <c r="A720" s="143"/>
      <c r="B720" s="140"/>
      <c r="C720" s="141"/>
      <c r="D720" s="142"/>
      <c r="E720" s="142"/>
      <c r="F720" s="143"/>
      <c r="G720" s="150"/>
      <c r="H720" s="150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</row>
    <row r="721" spans="1:26" ht="18.75">
      <c r="A721" s="143"/>
      <c r="B721" s="140"/>
      <c r="C721" s="141"/>
      <c r="D721" s="142"/>
      <c r="E721" s="142"/>
      <c r="F721" s="143"/>
      <c r="G721" s="152"/>
      <c r="H721" s="152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</row>
    <row r="722" spans="1:26" ht="18.75">
      <c r="A722" s="143"/>
      <c r="B722" s="140"/>
      <c r="C722" s="141"/>
      <c r="D722" s="142"/>
      <c r="E722" s="142"/>
      <c r="F722" s="143"/>
      <c r="G722" s="150"/>
      <c r="H722" s="150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</row>
    <row r="723" spans="1:26" ht="18.75">
      <c r="A723" s="143"/>
      <c r="B723" s="140"/>
      <c r="C723" s="141"/>
      <c r="D723" s="142"/>
      <c r="E723" s="142"/>
      <c r="F723" s="143"/>
      <c r="G723" s="152"/>
      <c r="H723" s="152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</row>
    <row r="724" spans="1:26" ht="18.75">
      <c r="A724" s="143"/>
      <c r="B724" s="140"/>
      <c r="C724" s="141"/>
      <c r="D724" s="142"/>
      <c r="E724" s="142"/>
      <c r="F724" s="143"/>
      <c r="G724" s="150"/>
      <c r="H724" s="150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</row>
    <row r="725" spans="1:26" ht="18.75">
      <c r="A725" s="143"/>
      <c r="B725" s="140"/>
      <c r="C725" s="141"/>
      <c r="D725" s="142"/>
      <c r="E725" s="142"/>
      <c r="F725" s="143"/>
      <c r="G725" s="152"/>
      <c r="H725" s="152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</row>
    <row r="726" spans="1:26" ht="18.75">
      <c r="A726" s="143"/>
      <c r="B726" s="140"/>
      <c r="C726" s="141"/>
      <c r="D726" s="142"/>
      <c r="E726" s="142"/>
      <c r="F726" s="143"/>
      <c r="G726" s="150"/>
      <c r="H726" s="150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</row>
    <row r="727" spans="1:26" ht="18.75">
      <c r="A727" s="143"/>
      <c r="B727" s="140"/>
      <c r="C727" s="141"/>
      <c r="D727" s="142"/>
      <c r="E727" s="142"/>
      <c r="F727" s="143"/>
      <c r="G727" s="152"/>
      <c r="H727" s="152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</row>
    <row r="728" spans="1:26" ht="18.75">
      <c r="A728" s="143"/>
      <c r="B728" s="140"/>
      <c r="C728" s="141"/>
      <c r="D728" s="142"/>
      <c r="E728" s="142"/>
      <c r="F728" s="143"/>
      <c r="G728" s="150"/>
      <c r="H728" s="150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</row>
    <row r="729" spans="1:26" ht="18.75">
      <c r="A729" s="143"/>
      <c r="B729" s="140"/>
      <c r="C729" s="141"/>
      <c r="D729" s="142"/>
      <c r="E729" s="142"/>
      <c r="F729" s="143"/>
      <c r="G729" s="152"/>
      <c r="H729" s="152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</row>
    <row r="730" spans="1:26" ht="18.75">
      <c r="A730" s="143"/>
      <c r="B730" s="140"/>
      <c r="C730" s="141"/>
      <c r="D730" s="142"/>
      <c r="E730" s="142"/>
      <c r="F730" s="143"/>
      <c r="G730" s="150"/>
      <c r="H730" s="150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</row>
    <row r="731" spans="1:26" ht="18.75">
      <c r="A731" s="143"/>
      <c r="B731" s="140"/>
      <c r="C731" s="141"/>
      <c r="D731" s="142"/>
      <c r="E731" s="142"/>
      <c r="F731" s="143"/>
      <c r="G731" s="152"/>
      <c r="H731" s="152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</row>
    <row r="732" spans="1:26" ht="18.75">
      <c r="A732" s="143"/>
      <c r="B732" s="140"/>
      <c r="C732" s="141"/>
      <c r="D732" s="142"/>
      <c r="E732" s="142"/>
      <c r="F732" s="143"/>
      <c r="G732" s="150"/>
      <c r="H732" s="150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</row>
    <row r="733" spans="1:26" ht="18.75">
      <c r="A733" s="143"/>
      <c r="B733" s="140"/>
      <c r="C733" s="141"/>
      <c r="D733" s="142"/>
      <c r="E733" s="142"/>
      <c r="F733" s="143"/>
      <c r="G733" s="152"/>
      <c r="H733" s="152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</row>
    <row r="734" spans="1:26" ht="18.75">
      <c r="A734" s="143"/>
      <c r="B734" s="140"/>
      <c r="C734" s="141"/>
      <c r="D734" s="142"/>
      <c r="E734" s="142"/>
      <c r="F734" s="143"/>
      <c r="G734" s="150"/>
      <c r="H734" s="150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</row>
    <row r="735" spans="1:26" ht="18.75">
      <c r="A735" s="143"/>
      <c r="B735" s="140"/>
      <c r="C735" s="141"/>
      <c r="D735" s="142"/>
      <c r="E735" s="142"/>
      <c r="F735" s="143"/>
      <c r="G735" s="152"/>
      <c r="H735" s="152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</row>
    <row r="736" spans="1:26" ht="18.75">
      <c r="A736" s="143"/>
      <c r="B736" s="140"/>
      <c r="C736" s="141"/>
      <c r="D736" s="142"/>
      <c r="E736" s="142"/>
      <c r="F736" s="143"/>
      <c r="G736" s="150"/>
      <c r="H736" s="150"/>
      <c r="I736" s="143"/>
      <c r="J736" s="143"/>
      <c r="K736" s="143"/>
      <c r="L736" s="143"/>
      <c r="M736" s="143"/>
      <c r="N736" s="143"/>
      <c r="O736" s="143"/>
      <c r="P736" s="143"/>
      <c r="Q736" s="143"/>
      <c r="R736" s="143"/>
      <c r="S736" s="143"/>
      <c r="T736" s="143"/>
      <c r="U736" s="143"/>
      <c r="V736" s="143"/>
      <c r="W736" s="143"/>
      <c r="X736" s="143"/>
      <c r="Y736" s="143"/>
      <c r="Z736" s="143"/>
    </row>
    <row r="737" spans="1:26" ht="18.75">
      <c r="A737" s="143"/>
      <c r="B737" s="140"/>
      <c r="C737" s="141"/>
      <c r="D737" s="142"/>
      <c r="E737" s="142"/>
      <c r="F737" s="143"/>
      <c r="G737" s="152"/>
      <c r="H737" s="152"/>
      <c r="I737" s="143"/>
      <c r="J737" s="143"/>
      <c r="K737" s="143"/>
      <c r="L737" s="143"/>
      <c r="M737" s="143"/>
      <c r="N737" s="143"/>
      <c r="O737" s="143"/>
      <c r="P737" s="143"/>
      <c r="Q737" s="143"/>
      <c r="R737" s="143"/>
      <c r="S737" s="143"/>
      <c r="T737" s="143"/>
      <c r="U737" s="143"/>
      <c r="V737" s="143"/>
      <c r="W737" s="143"/>
      <c r="X737" s="143"/>
      <c r="Y737" s="143"/>
      <c r="Z737" s="143"/>
    </row>
    <row r="738" spans="1:26" ht="18.75">
      <c r="A738" s="143"/>
      <c r="B738" s="140"/>
      <c r="C738" s="141"/>
      <c r="D738" s="142"/>
      <c r="E738" s="142"/>
      <c r="F738" s="143"/>
      <c r="G738" s="150"/>
      <c r="H738" s="150"/>
      <c r="I738" s="143"/>
      <c r="J738" s="143"/>
      <c r="K738" s="143"/>
      <c r="L738" s="143"/>
      <c r="M738" s="143"/>
      <c r="N738" s="143"/>
      <c r="O738" s="143"/>
      <c r="P738" s="143"/>
      <c r="Q738" s="143"/>
      <c r="R738" s="143"/>
      <c r="S738" s="143"/>
      <c r="T738" s="143"/>
      <c r="U738" s="143"/>
      <c r="V738" s="143"/>
      <c r="W738" s="143"/>
      <c r="X738" s="143"/>
      <c r="Y738" s="143"/>
      <c r="Z738" s="143"/>
    </row>
    <row r="739" spans="1:26" ht="18.75">
      <c r="A739" s="143"/>
      <c r="B739" s="140"/>
      <c r="C739" s="141"/>
      <c r="D739" s="142"/>
      <c r="E739" s="142"/>
      <c r="F739" s="143"/>
      <c r="G739" s="152"/>
      <c r="H739" s="152"/>
      <c r="I739" s="143"/>
      <c r="J739" s="143"/>
      <c r="K739" s="143"/>
      <c r="L739" s="143"/>
      <c r="M739" s="143"/>
      <c r="N739" s="143"/>
      <c r="O739" s="143"/>
      <c r="P739" s="143"/>
      <c r="Q739" s="143"/>
      <c r="R739" s="143"/>
      <c r="S739" s="143"/>
      <c r="T739" s="143"/>
      <c r="U739" s="143"/>
      <c r="V739" s="143"/>
      <c r="W739" s="143"/>
      <c r="X739" s="143"/>
      <c r="Y739" s="143"/>
      <c r="Z739" s="143"/>
    </row>
    <row r="740" spans="1:26" ht="18.75">
      <c r="A740" s="143"/>
      <c r="B740" s="140"/>
      <c r="C740" s="141"/>
      <c r="D740" s="142"/>
      <c r="E740" s="142"/>
      <c r="F740" s="143"/>
      <c r="G740" s="150"/>
      <c r="H740" s="150"/>
      <c r="I740" s="143"/>
      <c r="J740" s="143"/>
      <c r="K740" s="143"/>
      <c r="L740" s="143"/>
      <c r="M740" s="143"/>
      <c r="N740" s="143"/>
      <c r="O740" s="143"/>
      <c r="P740" s="143"/>
      <c r="Q740" s="143"/>
      <c r="R740" s="143"/>
      <c r="S740" s="143"/>
      <c r="T740" s="143"/>
      <c r="U740" s="143"/>
      <c r="V740" s="143"/>
      <c r="W740" s="143"/>
      <c r="X740" s="143"/>
      <c r="Y740" s="143"/>
      <c r="Z740" s="143"/>
    </row>
    <row r="741" spans="1:26" ht="18.75">
      <c r="A741" s="143"/>
      <c r="B741" s="140"/>
      <c r="C741" s="141"/>
      <c r="D741" s="142"/>
      <c r="E741" s="142"/>
      <c r="F741" s="143"/>
      <c r="G741" s="152"/>
      <c r="H741" s="152"/>
      <c r="I741" s="143"/>
      <c r="J741" s="143"/>
      <c r="K741" s="143"/>
      <c r="L741" s="143"/>
      <c r="M741" s="143"/>
      <c r="N741" s="143"/>
      <c r="O741" s="143"/>
      <c r="P741" s="143"/>
      <c r="Q741" s="143"/>
      <c r="R741" s="143"/>
      <c r="S741" s="143"/>
      <c r="T741" s="143"/>
      <c r="U741" s="143"/>
      <c r="V741" s="143"/>
      <c r="W741" s="143"/>
      <c r="X741" s="143"/>
      <c r="Y741" s="143"/>
      <c r="Z741" s="143"/>
    </row>
    <row r="742" spans="1:26" ht="18.75">
      <c r="A742" s="143"/>
      <c r="B742" s="140"/>
      <c r="C742" s="141"/>
      <c r="D742" s="142"/>
      <c r="E742" s="142"/>
      <c r="F742" s="143"/>
      <c r="G742" s="150"/>
      <c r="H742" s="150"/>
      <c r="I742" s="143"/>
      <c r="J742" s="143"/>
      <c r="K742" s="143"/>
      <c r="L742" s="143"/>
      <c r="M742" s="143"/>
      <c r="N742" s="143"/>
      <c r="O742" s="143"/>
      <c r="P742" s="143"/>
      <c r="Q742" s="143"/>
      <c r="R742" s="143"/>
      <c r="S742" s="143"/>
      <c r="T742" s="143"/>
      <c r="U742" s="143"/>
      <c r="V742" s="143"/>
      <c r="W742" s="143"/>
      <c r="X742" s="143"/>
      <c r="Y742" s="143"/>
      <c r="Z742" s="143"/>
    </row>
    <row r="743" spans="1:26" ht="18.75">
      <c r="A743" s="143"/>
      <c r="B743" s="140"/>
      <c r="C743" s="141"/>
      <c r="D743" s="142"/>
      <c r="E743" s="142"/>
      <c r="F743" s="143"/>
      <c r="G743" s="152"/>
      <c r="H743" s="152"/>
      <c r="I743" s="143"/>
      <c r="J743" s="143"/>
      <c r="K743" s="143"/>
      <c r="L743" s="143"/>
      <c r="M743" s="143"/>
      <c r="N743" s="143"/>
      <c r="O743" s="143"/>
      <c r="P743" s="143"/>
      <c r="Q743" s="143"/>
      <c r="R743" s="143"/>
      <c r="S743" s="143"/>
      <c r="T743" s="143"/>
      <c r="U743" s="143"/>
      <c r="V743" s="143"/>
      <c r="W743" s="143"/>
      <c r="X743" s="143"/>
      <c r="Y743" s="143"/>
      <c r="Z743" s="143"/>
    </row>
    <row r="744" spans="1:26" ht="18.75">
      <c r="A744" s="143"/>
      <c r="B744" s="140"/>
      <c r="C744" s="141"/>
      <c r="D744" s="142"/>
      <c r="E744" s="142"/>
      <c r="F744" s="143"/>
      <c r="G744" s="150"/>
      <c r="H744" s="150"/>
      <c r="I744" s="143"/>
      <c r="J744" s="143"/>
      <c r="K744" s="143"/>
      <c r="L744" s="143"/>
      <c r="M744" s="143"/>
      <c r="N744" s="143"/>
      <c r="O744" s="143"/>
      <c r="P744" s="143"/>
      <c r="Q744" s="143"/>
      <c r="R744" s="143"/>
      <c r="S744" s="143"/>
      <c r="T744" s="143"/>
      <c r="U744" s="143"/>
      <c r="V744" s="143"/>
      <c r="W744" s="143"/>
      <c r="X744" s="143"/>
      <c r="Y744" s="143"/>
      <c r="Z744" s="143"/>
    </row>
    <row r="745" spans="1:26" ht="18.75">
      <c r="A745" s="143"/>
      <c r="B745" s="140"/>
      <c r="C745" s="141"/>
      <c r="D745" s="142"/>
      <c r="E745" s="142"/>
      <c r="F745" s="143"/>
      <c r="G745" s="152"/>
      <c r="H745" s="152"/>
      <c r="I745" s="143"/>
      <c r="J745" s="143"/>
      <c r="K745" s="143"/>
      <c r="L745" s="143"/>
      <c r="M745" s="143"/>
      <c r="N745" s="143"/>
      <c r="O745" s="143"/>
      <c r="P745" s="143"/>
      <c r="Q745" s="143"/>
      <c r="R745" s="143"/>
      <c r="S745" s="143"/>
      <c r="T745" s="143"/>
      <c r="U745" s="143"/>
      <c r="V745" s="143"/>
      <c r="W745" s="143"/>
      <c r="X745" s="143"/>
      <c r="Y745" s="143"/>
      <c r="Z745" s="143"/>
    </row>
    <row r="746" spans="1:26" ht="18.75">
      <c r="A746" s="143"/>
      <c r="B746" s="140"/>
      <c r="C746" s="141"/>
      <c r="D746" s="142"/>
      <c r="E746" s="142"/>
      <c r="F746" s="143"/>
      <c r="G746" s="150"/>
      <c r="H746" s="150"/>
      <c r="I746" s="143"/>
      <c r="J746" s="143"/>
      <c r="K746" s="143"/>
      <c r="L746" s="143"/>
      <c r="M746" s="143"/>
      <c r="N746" s="143"/>
      <c r="O746" s="143"/>
      <c r="P746" s="143"/>
      <c r="Q746" s="143"/>
      <c r="R746" s="143"/>
      <c r="S746" s="143"/>
      <c r="T746" s="143"/>
      <c r="U746" s="143"/>
      <c r="V746" s="143"/>
      <c r="W746" s="143"/>
      <c r="X746" s="143"/>
      <c r="Y746" s="143"/>
      <c r="Z746" s="143"/>
    </row>
    <row r="747" spans="1:26" ht="18.75">
      <c r="A747" s="143"/>
      <c r="B747" s="140"/>
      <c r="C747" s="141"/>
      <c r="D747" s="142"/>
      <c r="E747" s="142"/>
      <c r="F747" s="143"/>
      <c r="G747" s="152"/>
      <c r="H747" s="152"/>
      <c r="I747" s="143"/>
      <c r="J747" s="143"/>
      <c r="K747" s="143"/>
      <c r="L747" s="143"/>
      <c r="M747" s="143"/>
      <c r="N747" s="143"/>
      <c r="O747" s="143"/>
      <c r="P747" s="143"/>
      <c r="Q747" s="143"/>
      <c r="R747" s="143"/>
      <c r="S747" s="143"/>
      <c r="T747" s="143"/>
      <c r="U747" s="143"/>
      <c r="V747" s="143"/>
      <c r="W747" s="143"/>
      <c r="X747" s="143"/>
      <c r="Y747" s="143"/>
      <c r="Z747" s="143"/>
    </row>
    <row r="748" spans="1:26" ht="18.75">
      <c r="A748" s="143"/>
      <c r="B748" s="140"/>
      <c r="C748" s="141"/>
      <c r="D748" s="142"/>
      <c r="E748" s="142"/>
      <c r="F748" s="143"/>
      <c r="G748" s="150"/>
      <c r="H748" s="150"/>
      <c r="I748" s="143"/>
      <c r="J748" s="143"/>
      <c r="K748" s="143"/>
      <c r="L748" s="143"/>
      <c r="M748" s="143"/>
      <c r="N748" s="143"/>
      <c r="O748" s="143"/>
      <c r="P748" s="143"/>
      <c r="Q748" s="143"/>
      <c r="R748" s="143"/>
      <c r="S748" s="143"/>
      <c r="T748" s="143"/>
      <c r="U748" s="143"/>
      <c r="V748" s="143"/>
      <c r="W748" s="143"/>
      <c r="X748" s="143"/>
      <c r="Y748" s="143"/>
      <c r="Z748" s="143"/>
    </row>
    <row r="749" spans="1:26" ht="18.75">
      <c r="A749" s="143"/>
      <c r="B749" s="140"/>
      <c r="C749" s="141"/>
      <c r="D749" s="142"/>
      <c r="E749" s="142"/>
      <c r="F749" s="143"/>
      <c r="G749" s="152"/>
      <c r="H749" s="152"/>
      <c r="I749" s="143"/>
      <c r="J749" s="143"/>
      <c r="K749" s="143"/>
      <c r="L749" s="143"/>
      <c r="M749" s="143"/>
      <c r="N749" s="143"/>
      <c r="O749" s="143"/>
      <c r="P749" s="143"/>
      <c r="Q749" s="143"/>
      <c r="R749" s="143"/>
      <c r="S749" s="143"/>
      <c r="T749" s="143"/>
      <c r="U749" s="143"/>
      <c r="V749" s="143"/>
      <c r="W749" s="143"/>
      <c r="X749" s="143"/>
      <c r="Y749" s="143"/>
      <c r="Z749" s="143"/>
    </row>
    <row r="750" spans="1:26" ht="18.75">
      <c r="A750" s="143"/>
      <c r="B750" s="140"/>
      <c r="C750" s="141"/>
      <c r="D750" s="142"/>
      <c r="E750" s="142"/>
      <c r="F750" s="143"/>
      <c r="G750" s="150"/>
      <c r="H750" s="150"/>
      <c r="I750" s="143"/>
      <c r="J750" s="143"/>
      <c r="K750" s="143"/>
      <c r="L750" s="143"/>
      <c r="M750" s="143"/>
      <c r="N750" s="143"/>
      <c r="O750" s="143"/>
      <c r="P750" s="143"/>
      <c r="Q750" s="143"/>
      <c r="R750" s="143"/>
      <c r="S750" s="143"/>
      <c r="T750" s="143"/>
      <c r="U750" s="143"/>
      <c r="V750" s="143"/>
      <c r="W750" s="143"/>
      <c r="X750" s="143"/>
      <c r="Y750" s="143"/>
      <c r="Z750" s="143"/>
    </row>
    <row r="751" spans="1:26" ht="18.75">
      <c r="A751" s="143"/>
      <c r="B751" s="140"/>
      <c r="C751" s="141"/>
      <c r="D751" s="142"/>
      <c r="E751" s="142"/>
      <c r="F751" s="143"/>
      <c r="G751" s="152"/>
      <c r="H751" s="152"/>
      <c r="I751" s="143"/>
      <c r="J751" s="143"/>
      <c r="K751" s="143"/>
      <c r="L751" s="143"/>
      <c r="M751" s="143"/>
      <c r="N751" s="143"/>
      <c r="O751" s="143"/>
      <c r="P751" s="143"/>
      <c r="Q751" s="143"/>
      <c r="R751" s="143"/>
      <c r="S751" s="143"/>
      <c r="T751" s="143"/>
      <c r="U751" s="143"/>
      <c r="V751" s="143"/>
      <c r="W751" s="143"/>
      <c r="X751" s="143"/>
      <c r="Y751" s="143"/>
      <c r="Z751" s="143"/>
    </row>
    <row r="752" spans="1:26" ht="18.75">
      <c r="A752" s="143"/>
      <c r="B752" s="140"/>
      <c r="C752" s="141"/>
      <c r="D752" s="142"/>
      <c r="E752" s="142"/>
      <c r="F752" s="143"/>
      <c r="G752" s="150"/>
      <c r="H752" s="150"/>
      <c r="I752" s="143"/>
      <c r="J752" s="143"/>
      <c r="K752" s="143"/>
      <c r="L752" s="143"/>
      <c r="M752" s="143"/>
      <c r="N752" s="143"/>
      <c r="O752" s="143"/>
      <c r="P752" s="143"/>
      <c r="Q752" s="143"/>
      <c r="R752" s="143"/>
      <c r="S752" s="143"/>
      <c r="T752" s="143"/>
      <c r="U752" s="143"/>
      <c r="V752" s="143"/>
      <c r="W752" s="143"/>
      <c r="X752" s="143"/>
      <c r="Y752" s="143"/>
      <c r="Z752" s="143"/>
    </row>
    <row r="753" spans="1:26" ht="18.75">
      <c r="A753" s="143"/>
      <c r="B753" s="140"/>
      <c r="C753" s="141"/>
      <c r="D753" s="142"/>
      <c r="E753" s="142"/>
      <c r="F753" s="143"/>
      <c r="G753" s="152"/>
      <c r="H753" s="152"/>
      <c r="I753" s="143"/>
      <c r="J753" s="143"/>
      <c r="K753" s="143"/>
      <c r="L753" s="143"/>
      <c r="M753" s="143"/>
      <c r="N753" s="143"/>
      <c r="O753" s="143"/>
      <c r="P753" s="143"/>
      <c r="Q753" s="143"/>
      <c r="R753" s="143"/>
      <c r="S753" s="143"/>
      <c r="T753" s="143"/>
      <c r="U753" s="143"/>
      <c r="V753" s="143"/>
      <c r="W753" s="143"/>
      <c r="X753" s="143"/>
      <c r="Y753" s="143"/>
      <c r="Z753" s="143"/>
    </row>
    <row r="754" spans="1:26" ht="18.75">
      <c r="A754" s="143"/>
      <c r="B754" s="140"/>
      <c r="C754" s="141"/>
      <c r="D754" s="142"/>
      <c r="E754" s="142"/>
      <c r="F754" s="143"/>
      <c r="G754" s="150"/>
      <c r="H754" s="150"/>
      <c r="I754" s="143"/>
      <c r="J754" s="143"/>
      <c r="K754" s="143"/>
      <c r="L754" s="143"/>
      <c r="M754" s="143"/>
      <c r="N754" s="143"/>
      <c r="O754" s="143"/>
      <c r="P754" s="143"/>
      <c r="Q754" s="143"/>
      <c r="R754" s="143"/>
      <c r="S754" s="143"/>
      <c r="T754" s="143"/>
      <c r="U754" s="143"/>
      <c r="V754" s="143"/>
      <c r="W754" s="143"/>
      <c r="X754" s="143"/>
      <c r="Y754" s="143"/>
      <c r="Z754" s="143"/>
    </row>
    <row r="755" spans="1:26" ht="18.75">
      <c r="A755" s="143"/>
      <c r="B755" s="140"/>
      <c r="C755" s="141"/>
      <c r="D755" s="142"/>
      <c r="E755" s="142"/>
      <c r="F755" s="143"/>
      <c r="G755" s="152"/>
      <c r="H755" s="152"/>
      <c r="I755" s="143"/>
      <c r="J755" s="143"/>
      <c r="K755" s="143"/>
      <c r="L755" s="143"/>
      <c r="M755" s="143"/>
      <c r="N755" s="143"/>
      <c r="O755" s="143"/>
      <c r="P755" s="143"/>
      <c r="Q755" s="143"/>
      <c r="R755" s="143"/>
      <c r="S755" s="143"/>
      <c r="T755" s="143"/>
      <c r="U755" s="143"/>
      <c r="V755" s="143"/>
      <c r="W755" s="143"/>
      <c r="X755" s="143"/>
      <c r="Y755" s="143"/>
      <c r="Z755" s="143"/>
    </row>
    <row r="756" spans="1:26" ht="18.75">
      <c r="A756" s="143"/>
      <c r="B756" s="140"/>
      <c r="C756" s="141"/>
      <c r="D756" s="142"/>
      <c r="E756" s="142"/>
      <c r="F756" s="143"/>
      <c r="G756" s="150"/>
      <c r="H756" s="150"/>
      <c r="I756" s="143"/>
      <c r="J756" s="143"/>
      <c r="K756" s="143"/>
      <c r="L756" s="143"/>
      <c r="M756" s="143"/>
      <c r="N756" s="143"/>
      <c r="O756" s="143"/>
      <c r="P756" s="143"/>
      <c r="Q756" s="143"/>
      <c r="R756" s="143"/>
      <c r="S756" s="143"/>
      <c r="T756" s="143"/>
      <c r="U756" s="143"/>
      <c r="V756" s="143"/>
      <c r="W756" s="143"/>
      <c r="X756" s="143"/>
      <c r="Y756" s="143"/>
      <c r="Z756" s="143"/>
    </row>
    <row r="757" spans="1:26" ht="18.75">
      <c r="A757" s="143"/>
      <c r="B757" s="140"/>
      <c r="C757" s="141"/>
      <c r="D757" s="142"/>
      <c r="E757" s="142"/>
      <c r="F757" s="143"/>
      <c r="G757" s="152"/>
      <c r="H757" s="152"/>
      <c r="I757" s="143"/>
      <c r="J757" s="143"/>
      <c r="K757" s="143"/>
      <c r="L757" s="143"/>
      <c r="M757" s="143"/>
      <c r="N757" s="143"/>
      <c r="O757" s="143"/>
      <c r="P757" s="143"/>
      <c r="Q757" s="143"/>
      <c r="R757" s="143"/>
      <c r="S757" s="143"/>
      <c r="T757" s="143"/>
      <c r="U757" s="143"/>
      <c r="V757" s="143"/>
      <c r="W757" s="143"/>
      <c r="X757" s="143"/>
      <c r="Y757" s="143"/>
      <c r="Z757" s="143"/>
    </row>
    <row r="758" spans="1:26" ht="18.75">
      <c r="A758" s="143"/>
      <c r="B758" s="140"/>
      <c r="C758" s="141"/>
      <c r="D758" s="142"/>
      <c r="E758" s="142"/>
      <c r="F758" s="143"/>
      <c r="G758" s="150"/>
      <c r="H758" s="150"/>
      <c r="I758" s="143"/>
      <c r="J758" s="143"/>
      <c r="K758" s="143"/>
      <c r="L758" s="143"/>
      <c r="M758" s="143"/>
      <c r="N758" s="143"/>
      <c r="O758" s="143"/>
      <c r="P758" s="143"/>
      <c r="Q758" s="143"/>
      <c r="R758" s="143"/>
      <c r="S758" s="143"/>
      <c r="T758" s="143"/>
      <c r="U758" s="143"/>
      <c r="V758" s="143"/>
      <c r="W758" s="143"/>
      <c r="X758" s="143"/>
      <c r="Y758" s="143"/>
      <c r="Z758" s="143"/>
    </row>
    <row r="759" spans="1:26" ht="18.75">
      <c r="A759" s="143"/>
      <c r="B759" s="140"/>
      <c r="C759" s="141"/>
      <c r="D759" s="142"/>
      <c r="E759" s="142"/>
      <c r="F759" s="143"/>
      <c r="G759" s="152"/>
      <c r="H759" s="152"/>
      <c r="I759" s="143"/>
      <c r="J759" s="143"/>
      <c r="K759" s="143"/>
      <c r="L759" s="143"/>
      <c r="M759" s="143"/>
      <c r="N759" s="143"/>
      <c r="O759" s="143"/>
      <c r="P759" s="143"/>
      <c r="Q759" s="143"/>
      <c r="R759" s="143"/>
      <c r="S759" s="143"/>
      <c r="T759" s="143"/>
      <c r="U759" s="143"/>
      <c r="V759" s="143"/>
      <c r="W759" s="143"/>
      <c r="X759" s="143"/>
      <c r="Y759" s="143"/>
      <c r="Z759" s="143"/>
    </row>
    <row r="760" spans="1:26" ht="18.75">
      <c r="A760" s="143"/>
      <c r="B760" s="140"/>
      <c r="C760" s="141"/>
      <c r="D760" s="142"/>
      <c r="E760" s="142"/>
      <c r="F760" s="143"/>
      <c r="G760" s="150"/>
      <c r="H760" s="150"/>
      <c r="I760" s="143"/>
      <c r="J760" s="143"/>
      <c r="K760" s="143"/>
      <c r="L760" s="143"/>
      <c r="M760" s="143"/>
      <c r="N760" s="143"/>
      <c r="O760" s="143"/>
      <c r="P760" s="143"/>
      <c r="Q760" s="143"/>
      <c r="R760" s="143"/>
      <c r="S760" s="143"/>
      <c r="T760" s="143"/>
      <c r="U760" s="143"/>
      <c r="V760" s="143"/>
      <c r="W760" s="143"/>
      <c r="X760" s="143"/>
      <c r="Y760" s="143"/>
      <c r="Z760" s="143"/>
    </row>
    <row r="761" spans="1:26" ht="18.75">
      <c r="A761" s="143"/>
      <c r="B761" s="140"/>
      <c r="C761" s="141"/>
      <c r="D761" s="142"/>
      <c r="E761" s="142"/>
      <c r="F761" s="143"/>
      <c r="G761" s="152"/>
      <c r="H761" s="152"/>
      <c r="I761" s="143"/>
      <c r="J761" s="143"/>
      <c r="K761" s="143"/>
      <c r="L761" s="143"/>
      <c r="M761" s="143"/>
      <c r="N761" s="143"/>
      <c r="O761" s="143"/>
      <c r="P761" s="143"/>
      <c r="Q761" s="143"/>
      <c r="R761" s="143"/>
      <c r="S761" s="143"/>
      <c r="T761" s="143"/>
      <c r="U761" s="143"/>
      <c r="V761" s="143"/>
      <c r="W761" s="143"/>
      <c r="X761" s="143"/>
      <c r="Y761" s="143"/>
      <c r="Z761" s="143"/>
    </row>
    <row r="762" spans="1:26" ht="18.75">
      <c r="A762" s="143"/>
      <c r="B762" s="140"/>
      <c r="C762" s="141"/>
      <c r="D762" s="142"/>
      <c r="E762" s="142"/>
      <c r="F762" s="143"/>
      <c r="G762" s="150"/>
      <c r="H762" s="150"/>
      <c r="I762" s="143"/>
      <c r="J762" s="143"/>
      <c r="K762" s="143"/>
      <c r="L762" s="143"/>
      <c r="M762" s="143"/>
      <c r="N762" s="143"/>
      <c r="O762" s="143"/>
      <c r="P762" s="143"/>
      <c r="Q762" s="143"/>
      <c r="R762" s="143"/>
      <c r="S762" s="143"/>
      <c r="T762" s="143"/>
      <c r="U762" s="143"/>
      <c r="V762" s="143"/>
      <c r="W762" s="143"/>
      <c r="X762" s="143"/>
      <c r="Y762" s="143"/>
      <c r="Z762" s="143"/>
    </row>
    <row r="763" spans="1:26" ht="18.75">
      <c r="A763" s="143"/>
      <c r="B763" s="140"/>
      <c r="C763" s="141"/>
      <c r="D763" s="142"/>
      <c r="E763" s="142"/>
      <c r="F763" s="143"/>
      <c r="G763" s="152"/>
      <c r="H763" s="152"/>
      <c r="I763" s="143"/>
      <c r="J763" s="143"/>
      <c r="K763" s="143"/>
      <c r="L763" s="143"/>
      <c r="M763" s="143"/>
      <c r="N763" s="143"/>
      <c r="O763" s="143"/>
      <c r="P763" s="143"/>
      <c r="Q763" s="143"/>
      <c r="R763" s="143"/>
      <c r="S763" s="143"/>
      <c r="T763" s="143"/>
      <c r="U763" s="143"/>
      <c r="V763" s="143"/>
      <c r="W763" s="143"/>
      <c r="X763" s="143"/>
      <c r="Y763" s="143"/>
      <c r="Z763" s="143"/>
    </row>
    <row r="764" spans="1:26" ht="18.75">
      <c r="A764" s="143"/>
      <c r="B764" s="140"/>
      <c r="C764" s="141"/>
      <c r="D764" s="142"/>
      <c r="E764" s="142"/>
      <c r="F764" s="143"/>
      <c r="G764" s="150"/>
      <c r="H764" s="150"/>
      <c r="I764" s="143"/>
      <c r="J764" s="143"/>
      <c r="K764" s="143"/>
      <c r="L764" s="143"/>
      <c r="M764" s="143"/>
      <c r="N764" s="143"/>
      <c r="O764" s="143"/>
      <c r="P764" s="143"/>
      <c r="Q764" s="143"/>
      <c r="R764" s="143"/>
      <c r="S764" s="143"/>
      <c r="T764" s="143"/>
      <c r="U764" s="143"/>
      <c r="V764" s="143"/>
      <c r="W764" s="143"/>
      <c r="X764" s="143"/>
      <c r="Y764" s="143"/>
      <c r="Z764" s="143"/>
    </row>
    <row r="765" spans="1:26" ht="18.75">
      <c r="A765" s="143"/>
      <c r="B765" s="140"/>
      <c r="C765" s="141"/>
      <c r="D765" s="142"/>
      <c r="E765" s="142"/>
      <c r="F765" s="143"/>
      <c r="G765" s="152"/>
      <c r="H765" s="152"/>
      <c r="I765" s="143"/>
      <c r="J765" s="143"/>
      <c r="K765" s="143"/>
      <c r="L765" s="143"/>
      <c r="M765" s="143"/>
      <c r="N765" s="143"/>
      <c r="O765" s="143"/>
      <c r="P765" s="143"/>
      <c r="Q765" s="143"/>
      <c r="R765" s="143"/>
      <c r="S765" s="143"/>
      <c r="T765" s="143"/>
      <c r="U765" s="143"/>
      <c r="V765" s="143"/>
      <c r="W765" s="143"/>
      <c r="X765" s="143"/>
      <c r="Y765" s="143"/>
      <c r="Z765" s="143"/>
    </row>
    <row r="766" spans="1:26" ht="18.75">
      <c r="A766" s="143"/>
      <c r="B766" s="140"/>
      <c r="C766" s="141"/>
      <c r="D766" s="142"/>
      <c r="E766" s="142"/>
      <c r="F766" s="143"/>
      <c r="G766" s="150"/>
      <c r="H766" s="150"/>
      <c r="I766" s="143"/>
      <c r="J766" s="143"/>
      <c r="K766" s="143"/>
      <c r="L766" s="143"/>
      <c r="M766" s="143"/>
      <c r="N766" s="143"/>
      <c r="O766" s="143"/>
      <c r="P766" s="143"/>
      <c r="Q766" s="143"/>
      <c r="R766" s="143"/>
      <c r="S766" s="143"/>
      <c r="T766" s="143"/>
      <c r="U766" s="143"/>
      <c r="V766" s="143"/>
      <c r="W766" s="143"/>
      <c r="X766" s="143"/>
      <c r="Y766" s="143"/>
      <c r="Z766" s="143"/>
    </row>
    <row r="767" spans="1:26" ht="18.75">
      <c r="A767" s="143"/>
      <c r="B767" s="140"/>
      <c r="C767" s="141"/>
      <c r="D767" s="142"/>
      <c r="E767" s="142"/>
      <c r="F767" s="143"/>
      <c r="G767" s="152"/>
      <c r="H767" s="152"/>
      <c r="I767" s="143"/>
      <c r="J767" s="143"/>
      <c r="K767" s="143"/>
      <c r="L767" s="143"/>
      <c r="M767" s="143"/>
      <c r="N767" s="143"/>
      <c r="O767" s="143"/>
      <c r="P767" s="143"/>
      <c r="Q767" s="143"/>
      <c r="R767" s="143"/>
      <c r="S767" s="143"/>
      <c r="T767" s="143"/>
      <c r="U767" s="143"/>
      <c r="V767" s="143"/>
      <c r="W767" s="143"/>
      <c r="X767" s="143"/>
      <c r="Y767" s="143"/>
      <c r="Z767" s="143"/>
    </row>
    <row r="768" spans="1:26" ht="18.75">
      <c r="A768" s="143"/>
      <c r="B768" s="140"/>
      <c r="C768" s="141"/>
      <c r="D768" s="142"/>
      <c r="E768" s="142"/>
      <c r="F768" s="143"/>
      <c r="G768" s="150"/>
      <c r="H768" s="150"/>
      <c r="I768" s="143"/>
      <c r="J768" s="143"/>
      <c r="K768" s="143"/>
      <c r="L768" s="143"/>
      <c r="M768" s="143"/>
      <c r="N768" s="143"/>
      <c r="O768" s="143"/>
      <c r="P768" s="143"/>
      <c r="Q768" s="143"/>
      <c r="R768" s="143"/>
      <c r="S768" s="143"/>
      <c r="T768" s="143"/>
      <c r="U768" s="143"/>
      <c r="V768" s="143"/>
      <c r="W768" s="143"/>
      <c r="X768" s="143"/>
      <c r="Y768" s="143"/>
      <c r="Z768" s="143"/>
    </row>
    <row r="769" spans="1:26" ht="18.75">
      <c r="A769" s="143"/>
      <c r="B769" s="140"/>
      <c r="C769" s="141"/>
      <c r="D769" s="142"/>
      <c r="E769" s="142"/>
      <c r="F769" s="143"/>
      <c r="G769" s="152"/>
      <c r="H769" s="152"/>
      <c r="I769" s="143"/>
      <c r="J769" s="143"/>
      <c r="K769" s="143"/>
      <c r="L769" s="143"/>
      <c r="M769" s="143"/>
      <c r="N769" s="143"/>
      <c r="O769" s="143"/>
      <c r="P769" s="143"/>
      <c r="Q769" s="143"/>
      <c r="R769" s="143"/>
      <c r="S769" s="143"/>
      <c r="T769" s="143"/>
      <c r="U769" s="143"/>
      <c r="V769" s="143"/>
      <c r="W769" s="143"/>
      <c r="X769" s="143"/>
      <c r="Y769" s="143"/>
      <c r="Z769" s="143"/>
    </row>
    <row r="770" spans="1:26" ht="18.75">
      <c r="A770" s="143"/>
      <c r="B770" s="140"/>
      <c r="C770" s="141"/>
      <c r="D770" s="142"/>
      <c r="E770" s="142"/>
      <c r="F770" s="143"/>
      <c r="G770" s="150"/>
      <c r="H770" s="150"/>
      <c r="I770" s="143"/>
      <c r="J770" s="143"/>
      <c r="K770" s="143"/>
      <c r="L770" s="143"/>
      <c r="M770" s="143"/>
      <c r="N770" s="143"/>
      <c r="O770" s="143"/>
      <c r="P770" s="143"/>
      <c r="Q770" s="143"/>
      <c r="R770" s="143"/>
      <c r="S770" s="143"/>
      <c r="T770" s="143"/>
      <c r="U770" s="143"/>
      <c r="V770" s="143"/>
      <c r="W770" s="143"/>
      <c r="X770" s="143"/>
      <c r="Y770" s="143"/>
      <c r="Z770" s="143"/>
    </row>
    <row r="771" spans="1:26" ht="18.75">
      <c r="A771" s="143"/>
      <c r="B771" s="140"/>
      <c r="C771" s="141"/>
      <c r="D771" s="142"/>
      <c r="E771" s="142"/>
      <c r="F771" s="143"/>
      <c r="G771" s="152"/>
      <c r="H771" s="152"/>
      <c r="I771" s="143"/>
      <c r="J771" s="143"/>
      <c r="K771" s="143"/>
      <c r="L771" s="143"/>
      <c r="M771" s="143"/>
      <c r="N771" s="143"/>
      <c r="O771" s="143"/>
      <c r="P771" s="143"/>
      <c r="Q771" s="143"/>
      <c r="R771" s="143"/>
      <c r="S771" s="143"/>
      <c r="T771" s="143"/>
      <c r="U771" s="143"/>
      <c r="V771" s="143"/>
      <c r="W771" s="143"/>
      <c r="X771" s="143"/>
      <c r="Y771" s="143"/>
      <c r="Z771" s="143"/>
    </row>
    <row r="772" spans="1:26" ht="18.75">
      <c r="A772" s="143"/>
      <c r="B772" s="140"/>
      <c r="C772" s="141"/>
      <c r="D772" s="142"/>
      <c r="E772" s="142"/>
      <c r="F772" s="143"/>
      <c r="G772" s="150"/>
      <c r="H772" s="150"/>
      <c r="I772" s="143"/>
      <c r="J772" s="143"/>
      <c r="K772" s="143"/>
      <c r="L772" s="143"/>
      <c r="M772" s="143"/>
      <c r="N772" s="143"/>
      <c r="O772" s="143"/>
      <c r="P772" s="143"/>
      <c r="Q772" s="143"/>
      <c r="R772" s="143"/>
      <c r="S772" s="143"/>
      <c r="T772" s="143"/>
      <c r="U772" s="143"/>
      <c r="V772" s="143"/>
      <c r="W772" s="143"/>
      <c r="X772" s="143"/>
      <c r="Y772" s="143"/>
      <c r="Z772" s="143"/>
    </row>
    <row r="773" spans="1:26" ht="18.75">
      <c r="A773" s="143"/>
      <c r="B773" s="140"/>
      <c r="C773" s="141"/>
      <c r="D773" s="142"/>
      <c r="E773" s="142"/>
      <c r="F773" s="143"/>
      <c r="G773" s="152"/>
      <c r="H773" s="152"/>
      <c r="I773" s="143"/>
      <c r="J773" s="143"/>
      <c r="K773" s="143"/>
      <c r="L773" s="143"/>
      <c r="M773" s="143"/>
      <c r="N773" s="143"/>
      <c r="O773" s="143"/>
      <c r="P773" s="143"/>
      <c r="Q773" s="143"/>
      <c r="R773" s="143"/>
      <c r="S773" s="143"/>
      <c r="T773" s="143"/>
      <c r="U773" s="143"/>
      <c r="V773" s="143"/>
      <c r="W773" s="143"/>
      <c r="X773" s="143"/>
      <c r="Y773" s="143"/>
      <c r="Z773" s="143"/>
    </row>
    <row r="774" spans="1:26" ht="18.75">
      <c r="A774" s="143"/>
      <c r="B774" s="140"/>
      <c r="C774" s="141"/>
      <c r="D774" s="142"/>
      <c r="E774" s="142"/>
      <c r="F774" s="143"/>
      <c r="G774" s="150"/>
      <c r="H774" s="150"/>
      <c r="I774" s="143"/>
      <c r="J774" s="143"/>
      <c r="K774" s="143"/>
      <c r="L774" s="143"/>
      <c r="M774" s="143"/>
      <c r="N774" s="143"/>
      <c r="O774" s="143"/>
      <c r="P774" s="143"/>
      <c r="Q774" s="143"/>
      <c r="R774" s="143"/>
      <c r="S774" s="143"/>
      <c r="T774" s="143"/>
      <c r="U774" s="143"/>
      <c r="V774" s="143"/>
      <c r="W774" s="143"/>
      <c r="X774" s="143"/>
      <c r="Y774" s="143"/>
      <c r="Z774" s="143"/>
    </row>
    <row r="775" spans="1:26" ht="18.75">
      <c r="A775" s="143"/>
      <c r="B775" s="140"/>
      <c r="C775" s="141"/>
      <c r="D775" s="142"/>
      <c r="E775" s="142"/>
      <c r="F775" s="143"/>
      <c r="G775" s="152"/>
      <c r="H775" s="152"/>
      <c r="I775" s="143"/>
      <c r="J775" s="143"/>
      <c r="K775" s="143"/>
      <c r="L775" s="143"/>
      <c r="M775" s="143"/>
      <c r="N775" s="143"/>
      <c r="O775" s="143"/>
      <c r="P775" s="143"/>
      <c r="Q775" s="143"/>
      <c r="R775" s="143"/>
      <c r="S775" s="143"/>
      <c r="T775" s="143"/>
      <c r="U775" s="143"/>
      <c r="V775" s="143"/>
      <c r="W775" s="143"/>
      <c r="X775" s="143"/>
      <c r="Y775" s="143"/>
      <c r="Z775" s="143"/>
    </row>
    <row r="776" spans="1:26" ht="18.75">
      <c r="A776" s="143"/>
      <c r="B776" s="140"/>
      <c r="C776" s="141"/>
      <c r="D776" s="142"/>
      <c r="E776" s="142"/>
      <c r="F776" s="143"/>
      <c r="G776" s="150"/>
      <c r="H776" s="150"/>
      <c r="I776" s="143"/>
      <c r="J776" s="143"/>
      <c r="K776" s="143"/>
      <c r="L776" s="143"/>
      <c r="M776" s="143"/>
      <c r="N776" s="143"/>
      <c r="O776" s="143"/>
      <c r="P776" s="143"/>
      <c r="Q776" s="143"/>
      <c r="R776" s="143"/>
      <c r="S776" s="143"/>
      <c r="T776" s="143"/>
      <c r="U776" s="143"/>
      <c r="V776" s="143"/>
      <c r="W776" s="143"/>
      <c r="X776" s="143"/>
      <c r="Y776" s="143"/>
      <c r="Z776" s="143"/>
    </row>
    <row r="777" spans="1:26" ht="18.75">
      <c r="A777" s="143"/>
      <c r="B777" s="140"/>
      <c r="C777" s="141"/>
      <c r="D777" s="142"/>
      <c r="E777" s="142"/>
      <c r="F777" s="143"/>
      <c r="G777" s="152"/>
      <c r="H777" s="152"/>
      <c r="I777" s="143"/>
      <c r="J777" s="143"/>
      <c r="K777" s="143"/>
      <c r="L777" s="143"/>
      <c r="M777" s="143"/>
      <c r="N777" s="143"/>
      <c r="O777" s="143"/>
      <c r="P777" s="143"/>
      <c r="Q777" s="143"/>
      <c r="R777" s="143"/>
      <c r="S777" s="143"/>
      <c r="T777" s="143"/>
      <c r="U777" s="143"/>
      <c r="V777" s="143"/>
      <c r="W777" s="143"/>
      <c r="X777" s="143"/>
      <c r="Y777" s="143"/>
      <c r="Z777" s="143"/>
    </row>
    <row r="778" spans="1:26" ht="18.75">
      <c r="A778" s="143"/>
      <c r="B778" s="140"/>
      <c r="C778" s="141"/>
      <c r="D778" s="142"/>
      <c r="E778" s="142"/>
      <c r="F778" s="143"/>
      <c r="G778" s="150"/>
      <c r="H778" s="150"/>
      <c r="I778" s="143"/>
      <c r="J778" s="143"/>
      <c r="K778" s="143"/>
      <c r="L778" s="143"/>
      <c r="M778" s="143"/>
      <c r="N778" s="143"/>
      <c r="O778" s="143"/>
      <c r="P778" s="143"/>
      <c r="Q778" s="143"/>
      <c r="R778" s="143"/>
      <c r="S778" s="143"/>
      <c r="T778" s="143"/>
      <c r="U778" s="143"/>
      <c r="V778" s="143"/>
      <c r="W778" s="143"/>
      <c r="X778" s="143"/>
      <c r="Y778" s="143"/>
      <c r="Z778" s="143"/>
    </row>
    <row r="779" spans="1:26" ht="18.75">
      <c r="A779" s="143"/>
      <c r="B779" s="140"/>
      <c r="C779" s="141"/>
      <c r="D779" s="142"/>
      <c r="E779" s="142"/>
      <c r="F779" s="143"/>
      <c r="G779" s="152"/>
      <c r="H779" s="152"/>
      <c r="I779" s="143"/>
      <c r="J779" s="143"/>
      <c r="K779" s="143"/>
      <c r="L779" s="143"/>
      <c r="M779" s="143"/>
      <c r="N779" s="143"/>
      <c r="O779" s="143"/>
      <c r="P779" s="143"/>
      <c r="Q779" s="143"/>
      <c r="R779" s="143"/>
      <c r="S779" s="143"/>
      <c r="T779" s="143"/>
      <c r="U779" s="143"/>
      <c r="V779" s="143"/>
      <c r="W779" s="143"/>
      <c r="X779" s="143"/>
      <c r="Y779" s="143"/>
      <c r="Z779" s="143"/>
    </row>
    <row r="780" spans="1:26" ht="18.75">
      <c r="A780" s="143"/>
      <c r="B780" s="140"/>
      <c r="C780" s="141"/>
      <c r="D780" s="142"/>
      <c r="E780" s="142"/>
      <c r="F780" s="143"/>
      <c r="G780" s="150"/>
      <c r="H780" s="150"/>
      <c r="I780" s="143"/>
      <c r="J780" s="143"/>
      <c r="K780" s="143"/>
      <c r="L780" s="143"/>
      <c r="M780" s="143"/>
      <c r="N780" s="143"/>
      <c r="O780" s="143"/>
      <c r="P780" s="143"/>
      <c r="Q780" s="143"/>
      <c r="R780" s="143"/>
      <c r="S780" s="143"/>
      <c r="T780" s="143"/>
      <c r="U780" s="143"/>
      <c r="V780" s="143"/>
      <c r="W780" s="143"/>
      <c r="X780" s="143"/>
      <c r="Y780" s="143"/>
      <c r="Z780" s="143"/>
    </row>
    <row r="781" spans="1:26" ht="18.75">
      <c r="A781" s="143"/>
      <c r="B781" s="140"/>
      <c r="C781" s="141"/>
      <c r="D781" s="142"/>
      <c r="E781" s="142"/>
      <c r="F781" s="143"/>
      <c r="G781" s="152"/>
      <c r="H781" s="152"/>
      <c r="I781" s="143"/>
      <c r="J781" s="143"/>
      <c r="K781" s="143"/>
      <c r="L781" s="143"/>
      <c r="M781" s="143"/>
      <c r="N781" s="143"/>
      <c r="O781" s="143"/>
      <c r="P781" s="143"/>
      <c r="Q781" s="143"/>
      <c r="R781" s="143"/>
      <c r="S781" s="143"/>
      <c r="T781" s="143"/>
      <c r="U781" s="143"/>
      <c r="V781" s="143"/>
      <c r="W781" s="143"/>
      <c r="X781" s="143"/>
      <c r="Y781" s="143"/>
      <c r="Z781" s="143"/>
    </row>
    <row r="782" spans="1:26" ht="18.75">
      <c r="A782" s="143"/>
      <c r="B782" s="140"/>
      <c r="C782" s="141"/>
      <c r="D782" s="142"/>
      <c r="E782" s="142"/>
      <c r="F782" s="143"/>
      <c r="G782" s="150"/>
      <c r="H782" s="150"/>
      <c r="I782" s="143"/>
      <c r="J782" s="143"/>
      <c r="K782" s="143"/>
      <c r="L782" s="143"/>
      <c r="M782" s="143"/>
      <c r="N782" s="143"/>
      <c r="O782" s="143"/>
      <c r="P782" s="143"/>
      <c r="Q782" s="143"/>
      <c r="R782" s="143"/>
      <c r="S782" s="143"/>
      <c r="T782" s="143"/>
      <c r="U782" s="143"/>
      <c r="V782" s="143"/>
      <c r="W782" s="143"/>
      <c r="X782" s="143"/>
      <c r="Y782" s="143"/>
      <c r="Z782" s="143"/>
    </row>
    <row r="783" spans="1:26" ht="18.75">
      <c r="A783" s="143"/>
      <c r="B783" s="140"/>
      <c r="C783" s="141"/>
      <c r="D783" s="142"/>
      <c r="E783" s="142"/>
      <c r="F783" s="143"/>
      <c r="G783" s="152"/>
      <c r="H783" s="152"/>
      <c r="I783" s="143"/>
      <c r="J783" s="143"/>
      <c r="K783" s="143"/>
      <c r="L783" s="143"/>
      <c r="M783" s="143"/>
      <c r="N783" s="143"/>
      <c r="O783" s="143"/>
      <c r="P783" s="143"/>
      <c r="Q783" s="143"/>
      <c r="R783" s="143"/>
      <c r="S783" s="143"/>
      <c r="T783" s="143"/>
      <c r="U783" s="143"/>
      <c r="V783" s="143"/>
      <c r="W783" s="143"/>
      <c r="X783" s="143"/>
      <c r="Y783" s="143"/>
      <c r="Z783" s="143"/>
    </row>
    <row r="784" spans="1:26" ht="18.75">
      <c r="A784" s="143"/>
      <c r="B784" s="140"/>
      <c r="C784" s="141"/>
      <c r="D784" s="142"/>
      <c r="E784" s="142"/>
      <c r="F784" s="143"/>
      <c r="G784" s="150"/>
      <c r="H784" s="150"/>
      <c r="I784" s="143"/>
      <c r="J784" s="143"/>
      <c r="K784" s="143"/>
      <c r="L784" s="143"/>
      <c r="M784" s="143"/>
      <c r="N784" s="143"/>
      <c r="O784" s="143"/>
      <c r="P784" s="143"/>
      <c r="Q784" s="143"/>
      <c r="R784" s="143"/>
      <c r="S784" s="143"/>
      <c r="T784" s="143"/>
      <c r="U784" s="143"/>
      <c r="V784" s="143"/>
      <c r="W784" s="143"/>
      <c r="X784" s="143"/>
      <c r="Y784" s="143"/>
      <c r="Z784" s="143"/>
    </row>
    <row r="785" spans="1:26" ht="18.75">
      <c r="A785" s="143"/>
      <c r="B785" s="140"/>
      <c r="C785" s="141"/>
      <c r="D785" s="142"/>
      <c r="E785" s="142"/>
      <c r="F785" s="143"/>
      <c r="G785" s="152"/>
      <c r="H785" s="152"/>
      <c r="I785" s="143"/>
      <c r="J785" s="143"/>
      <c r="K785" s="143"/>
      <c r="L785" s="143"/>
      <c r="M785" s="143"/>
      <c r="N785" s="143"/>
      <c r="O785" s="143"/>
      <c r="P785" s="143"/>
      <c r="Q785" s="143"/>
      <c r="R785" s="143"/>
      <c r="S785" s="143"/>
      <c r="T785" s="143"/>
      <c r="U785" s="143"/>
      <c r="V785" s="143"/>
      <c r="W785" s="143"/>
      <c r="X785" s="143"/>
      <c r="Y785" s="143"/>
      <c r="Z785" s="143"/>
    </row>
    <row r="786" spans="1:26" ht="18.75">
      <c r="A786" s="143"/>
      <c r="B786" s="140"/>
      <c r="C786" s="141"/>
      <c r="D786" s="142"/>
      <c r="E786" s="142"/>
      <c r="F786" s="143"/>
      <c r="G786" s="150"/>
      <c r="H786" s="150"/>
      <c r="I786" s="143"/>
      <c r="J786" s="143"/>
      <c r="K786" s="143"/>
      <c r="L786" s="143"/>
      <c r="M786" s="143"/>
      <c r="N786" s="143"/>
      <c r="O786" s="143"/>
      <c r="P786" s="143"/>
      <c r="Q786" s="143"/>
      <c r="R786" s="143"/>
      <c r="S786" s="143"/>
      <c r="T786" s="143"/>
      <c r="U786" s="143"/>
      <c r="V786" s="143"/>
      <c r="W786" s="143"/>
      <c r="X786" s="143"/>
      <c r="Y786" s="143"/>
      <c r="Z786" s="143"/>
    </row>
    <row r="787" spans="1:26" ht="18.75">
      <c r="A787" s="143"/>
      <c r="B787" s="140"/>
      <c r="C787" s="141"/>
      <c r="D787" s="142"/>
      <c r="E787" s="142"/>
      <c r="F787" s="143"/>
      <c r="G787" s="152"/>
      <c r="H787" s="152"/>
      <c r="I787" s="143"/>
      <c r="J787" s="143"/>
      <c r="K787" s="143"/>
      <c r="L787" s="143"/>
      <c r="M787" s="143"/>
      <c r="N787" s="143"/>
      <c r="O787" s="143"/>
      <c r="P787" s="143"/>
      <c r="Q787" s="143"/>
      <c r="R787" s="143"/>
      <c r="S787" s="143"/>
      <c r="T787" s="143"/>
      <c r="U787" s="143"/>
      <c r="V787" s="143"/>
      <c r="W787" s="143"/>
      <c r="X787" s="143"/>
      <c r="Y787" s="143"/>
      <c r="Z787" s="143"/>
    </row>
    <row r="788" spans="1:26" ht="18.75">
      <c r="A788" s="143"/>
      <c r="B788" s="140"/>
      <c r="C788" s="141"/>
      <c r="D788" s="142"/>
      <c r="E788" s="142"/>
      <c r="F788" s="143"/>
      <c r="G788" s="150"/>
      <c r="H788" s="150"/>
      <c r="I788" s="143"/>
      <c r="J788" s="143"/>
      <c r="K788" s="143"/>
      <c r="L788" s="143"/>
      <c r="M788" s="143"/>
      <c r="N788" s="143"/>
      <c r="O788" s="143"/>
      <c r="P788" s="143"/>
      <c r="Q788" s="143"/>
      <c r="R788" s="143"/>
      <c r="S788" s="143"/>
      <c r="T788" s="143"/>
      <c r="U788" s="143"/>
      <c r="V788" s="143"/>
      <c r="W788" s="143"/>
      <c r="X788" s="143"/>
      <c r="Y788" s="143"/>
      <c r="Z788" s="143"/>
    </row>
    <row r="789" spans="1:26" ht="18.75">
      <c r="A789" s="143"/>
      <c r="B789" s="140"/>
      <c r="C789" s="141"/>
      <c r="D789" s="142"/>
      <c r="E789" s="142"/>
      <c r="F789" s="143"/>
      <c r="G789" s="152"/>
      <c r="H789" s="152"/>
      <c r="I789" s="143"/>
      <c r="J789" s="143"/>
      <c r="K789" s="143"/>
      <c r="L789" s="143"/>
      <c r="M789" s="143"/>
      <c r="N789" s="143"/>
      <c r="O789" s="143"/>
      <c r="P789" s="143"/>
      <c r="Q789" s="143"/>
      <c r="R789" s="143"/>
      <c r="S789" s="143"/>
      <c r="T789" s="143"/>
      <c r="U789" s="143"/>
      <c r="V789" s="143"/>
      <c r="W789" s="143"/>
      <c r="X789" s="143"/>
      <c r="Y789" s="143"/>
      <c r="Z789" s="143"/>
    </row>
    <row r="790" spans="1:26" ht="18.75">
      <c r="A790" s="143"/>
      <c r="B790" s="140"/>
      <c r="C790" s="141"/>
      <c r="D790" s="142"/>
      <c r="E790" s="142"/>
      <c r="F790" s="143"/>
      <c r="G790" s="150"/>
      <c r="H790" s="150"/>
      <c r="I790" s="143"/>
      <c r="J790" s="143"/>
      <c r="K790" s="143"/>
      <c r="L790" s="143"/>
      <c r="M790" s="143"/>
      <c r="N790" s="143"/>
      <c r="O790" s="143"/>
      <c r="P790" s="143"/>
      <c r="Q790" s="143"/>
      <c r="R790" s="143"/>
      <c r="S790" s="143"/>
      <c r="T790" s="143"/>
      <c r="U790" s="143"/>
      <c r="V790" s="143"/>
      <c r="W790" s="143"/>
      <c r="X790" s="143"/>
      <c r="Y790" s="143"/>
      <c r="Z790" s="143"/>
    </row>
    <row r="791" spans="1:26" ht="18.75">
      <c r="A791" s="143"/>
      <c r="B791" s="140"/>
      <c r="C791" s="141"/>
      <c r="D791" s="142"/>
      <c r="E791" s="142"/>
      <c r="F791" s="143"/>
      <c r="G791" s="152"/>
      <c r="H791" s="152"/>
      <c r="I791" s="143"/>
      <c r="J791" s="143"/>
      <c r="K791" s="143"/>
      <c r="L791" s="143"/>
      <c r="M791" s="143"/>
      <c r="N791" s="143"/>
      <c r="O791" s="143"/>
      <c r="P791" s="143"/>
      <c r="Q791" s="143"/>
      <c r="R791" s="143"/>
      <c r="S791" s="143"/>
      <c r="T791" s="143"/>
      <c r="U791" s="143"/>
      <c r="V791" s="143"/>
      <c r="W791" s="143"/>
      <c r="X791" s="143"/>
      <c r="Y791" s="143"/>
      <c r="Z791" s="143"/>
    </row>
    <row r="792" spans="1:26" ht="18.75">
      <c r="A792" s="143"/>
      <c r="B792" s="140"/>
      <c r="C792" s="141"/>
      <c r="D792" s="142"/>
      <c r="E792" s="142"/>
      <c r="F792" s="143"/>
      <c r="G792" s="150"/>
      <c r="H792" s="150"/>
      <c r="I792" s="143"/>
      <c r="J792" s="143"/>
      <c r="K792" s="143"/>
      <c r="L792" s="143"/>
      <c r="M792" s="143"/>
      <c r="N792" s="143"/>
      <c r="O792" s="143"/>
      <c r="P792" s="143"/>
      <c r="Q792" s="143"/>
      <c r="R792" s="143"/>
      <c r="S792" s="143"/>
      <c r="T792" s="143"/>
      <c r="U792" s="143"/>
      <c r="V792" s="143"/>
      <c r="W792" s="143"/>
      <c r="X792" s="143"/>
      <c r="Y792" s="143"/>
      <c r="Z792" s="143"/>
    </row>
    <row r="793" spans="1:26" ht="18.75">
      <c r="A793" s="143"/>
      <c r="B793" s="140"/>
      <c r="C793" s="141"/>
      <c r="D793" s="142"/>
      <c r="E793" s="142"/>
      <c r="F793" s="143"/>
      <c r="G793" s="152"/>
      <c r="H793" s="152"/>
      <c r="I793" s="143"/>
      <c r="J793" s="143"/>
      <c r="K793" s="143"/>
      <c r="L793" s="143"/>
      <c r="M793" s="143"/>
      <c r="N793" s="143"/>
      <c r="O793" s="143"/>
      <c r="P793" s="143"/>
      <c r="Q793" s="143"/>
      <c r="R793" s="143"/>
      <c r="S793" s="143"/>
      <c r="T793" s="143"/>
      <c r="U793" s="143"/>
      <c r="V793" s="143"/>
      <c r="W793" s="143"/>
      <c r="X793" s="143"/>
      <c r="Y793" s="143"/>
      <c r="Z793" s="143"/>
    </row>
    <row r="794" spans="1:26" ht="18.75">
      <c r="A794" s="143"/>
      <c r="B794" s="140"/>
      <c r="C794" s="141"/>
      <c r="D794" s="142"/>
      <c r="E794" s="142"/>
      <c r="F794" s="143"/>
      <c r="G794" s="150"/>
      <c r="H794" s="150"/>
      <c r="I794" s="143"/>
      <c r="J794" s="143"/>
      <c r="K794" s="143"/>
      <c r="L794" s="143"/>
      <c r="M794" s="143"/>
      <c r="N794" s="143"/>
      <c r="O794" s="143"/>
      <c r="P794" s="143"/>
      <c r="Q794" s="143"/>
      <c r="R794" s="143"/>
      <c r="S794" s="143"/>
      <c r="T794" s="143"/>
      <c r="U794" s="143"/>
      <c r="V794" s="143"/>
      <c r="W794" s="143"/>
      <c r="X794" s="143"/>
      <c r="Y794" s="143"/>
      <c r="Z794" s="143"/>
    </row>
    <row r="795" spans="1:26" ht="18.75">
      <c r="A795" s="143"/>
      <c r="B795" s="140"/>
      <c r="C795" s="141"/>
      <c r="D795" s="142"/>
      <c r="E795" s="142"/>
      <c r="F795" s="143"/>
      <c r="G795" s="152"/>
      <c r="H795" s="152"/>
      <c r="I795" s="143"/>
      <c r="J795" s="143"/>
      <c r="K795" s="143"/>
      <c r="L795" s="143"/>
      <c r="M795" s="143"/>
      <c r="N795" s="143"/>
      <c r="O795" s="143"/>
      <c r="P795" s="143"/>
      <c r="Q795" s="143"/>
      <c r="R795" s="143"/>
      <c r="S795" s="143"/>
      <c r="T795" s="143"/>
      <c r="U795" s="143"/>
      <c r="V795" s="143"/>
      <c r="W795" s="143"/>
      <c r="X795" s="143"/>
      <c r="Y795" s="143"/>
      <c r="Z795" s="143"/>
    </row>
    <row r="796" spans="1:26" ht="18.75">
      <c r="A796" s="143"/>
      <c r="B796" s="140"/>
      <c r="C796" s="141"/>
      <c r="D796" s="142"/>
      <c r="E796" s="142"/>
      <c r="F796" s="143"/>
      <c r="G796" s="150"/>
      <c r="H796" s="150"/>
      <c r="I796" s="143"/>
      <c r="J796" s="143"/>
      <c r="K796" s="143"/>
      <c r="L796" s="143"/>
      <c r="M796" s="143"/>
      <c r="N796" s="143"/>
      <c r="O796" s="143"/>
      <c r="P796" s="143"/>
      <c r="Q796" s="143"/>
      <c r="R796" s="143"/>
      <c r="S796" s="143"/>
      <c r="T796" s="143"/>
      <c r="U796" s="143"/>
      <c r="V796" s="143"/>
      <c r="W796" s="143"/>
      <c r="X796" s="143"/>
      <c r="Y796" s="143"/>
      <c r="Z796" s="143"/>
    </row>
    <row r="797" spans="1:26" ht="18.75">
      <c r="A797" s="143"/>
      <c r="B797" s="140"/>
      <c r="C797" s="141"/>
      <c r="D797" s="142"/>
      <c r="E797" s="142"/>
      <c r="F797" s="143"/>
      <c r="G797" s="152"/>
      <c r="H797" s="152"/>
      <c r="I797" s="143"/>
      <c r="J797" s="143"/>
      <c r="K797" s="143"/>
      <c r="L797" s="143"/>
      <c r="M797" s="143"/>
      <c r="N797" s="143"/>
      <c r="O797" s="143"/>
      <c r="P797" s="143"/>
      <c r="Q797" s="143"/>
      <c r="R797" s="143"/>
      <c r="S797" s="143"/>
      <c r="T797" s="143"/>
      <c r="U797" s="143"/>
      <c r="V797" s="143"/>
      <c r="W797" s="143"/>
      <c r="X797" s="143"/>
      <c r="Y797" s="143"/>
      <c r="Z797" s="143"/>
    </row>
    <row r="798" spans="1:26" ht="18.75">
      <c r="A798" s="143"/>
      <c r="B798" s="140"/>
      <c r="C798" s="141"/>
      <c r="D798" s="142"/>
      <c r="E798" s="142"/>
      <c r="F798" s="143"/>
      <c r="G798" s="150"/>
      <c r="H798" s="150"/>
      <c r="I798" s="143"/>
      <c r="J798" s="143"/>
      <c r="K798" s="143"/>
      <c r="L798" s="143"/>
      <c r="M798" s="143"/>
      <c r="N798" s="143"/>
      <c r="O798" s="143"/>
      <c r="P798" s="143"/>
      <c r="Q798" s="143"/>
      <c r="R798" s="143"/>
      <c r="S798" s="143"/>
      <c r="T798" s="143"/>
      <c r="U798" s="143"/>
      <c r="V798" s="143"/>
      <c r="W798" s="143"/>
      <c r="X798" s="143"/>
      <c r="Y798" s="143"/>
      <c r="Z798" s="143"/>
    </row>
    <row r="799" spans="1:26" ht="18.75">
      <c r="A799" s="143"/>
      <c r="B799" s="140"/>
      <c r="C799" s="141"/>
      <c r="D799" s="142"/>
      <c r="E799" s="142"/>
      <c r="F799" s="143"/>
      <c r="G799" s="152"/>
      <c r="H799" s="152"/>
      <c r="I799" s="143"/>
      <c r="J799" s="143"/>
      <c r="K799" s="143"/>
      <c r="L799" s="143"/>
      <c r="M799" s="143"/>
      <c r="N799" s="143"/>
      <c r="O799" s="143"/>
      <c r="P799" s="143"/>
      <c r="Q799" s="143"/>
      <c r="R799" s="143"/>
      <c r="S799" s="143"/>
      <c r="T799" s="143"/>
      <c r="U799" s="143"/>
      <c r="V799" s="143"/>
      <c r="W799" s="143"/>
      <c r="X799" s="143"/>
      <c r="Y799" s="143"/>
      <c r="Z799" s="143"/>
    </row>
    <row r="800" spans="1:26" ht="18.75">
      <c r="A800" s="143"/>
      <c r="B800" s="140"/>
      <c r="C800" s="141"/>
      <c r="D800" s="142"/>
      <c r="E800" s="142"/>
      <c r="F800" s="143"/>
      <c r="G800" s="150"/>
      <c r="H800" s="150"/>
      <c r="I800" s="143"/>
      <c r="J800" s="143"/>
      <c r="K800" s="143"/>
      <c r="L800" s="143"/>
      <c r="M800" s="143"/>
      <c r="N800" s="143"/>
      <c r="O800" s="143"/>
      <c r="P800" s="143"/>
      <c r="Q800" s="143"/>
      <c r="R800" s="143"/>
      <c r="S800" s="143"/>
      <c r="T800" s="143"/>
      <c r="U800" s="143"/>
      <c r="V800" s="143"/>
      <c r="W800" s="143"/>
      <c r="X800" s="143"/>
      <c r="Y800" s="143"/>
      <c r="Z800" s="143"/>
    </row>
    <row r="801" spans="1:26" ht="18.75">
      <c r="A801" s="143"/>
      <c r="B801" s="140"/>
      <c r="C801" s="141"/>
      <c r="D801" s="142"/>
      <c r="E801" s="142"/>
      <c r="F801" s="143"/>
      <c r="G801" s="152"/>
      <c r="H801" s="152"/>
      <c r="I801" s="143"/>
      <c r="J801" s="143"/>
      <c r="K801" s="143"/>
      <c r="L801" s="143"/>
      <c r="M801" s="143"/>
      <c r="N801" s="143"/>
      <c r="O801" s="143"/>
      <c r="P801" s="143"/>
      <c r="Q801" s="143"/>
      <c r="R801" s="143"/>
      <c r="S801" s="143"/>
      <c r="T801" s="143"/>
      <c r="U801" s="143"/>
      <c r="V801" s="143"/>
      <c r="W801" s="143"/>
      <c r="X801" s="143"/>
      <c r="Y801" s="143"/>
      <c r="Z801" s="143"/>
    </row>
    <row r="802" spans="1:26" ht="18.75">
      <c r="A802" s="143"/>
      <c r="B802" s="140"/>
      <c r="C802" s="141"/>
      <c r="D802" s="142"/>
      <c r="E802" s="142"/>
      <c r="F802" s="143"/>
      <c r="G802" s="150"/>
      <c r="H802" s="150"/>
      <c r="I802" s="143"/>
      <c r="J802" s="143"/>
      <c r="K802" s="143"/>
      <c r="L802" s="143"/>
      <c r="M802" s="143"/>
      <c r="N802" s="143"/>
      <c r="O802" s="143"/>
      <c r="P802" s="143"/>
      <c r="Q802" s="143"/>
      <c r="R802" s="143"/>
      <c r="S802" s="143"/>
      <c r="T802" s="143"/>
      <c r="U802" s="143"/>
      <c r="V802" s="143"/>
      <c r="W802" s="143"/>
      <c r="X802" s="143"/>
      <c r="Y802" s="143"/>
      <c r="Z802" s="143"/>
    </row>
    <row r="803" spans="1:26" ht="18.75">
      <c r="A803" s="143"/>
      <c r="B803" s="140"/>
      <c r="C803" s="141"/>
      <c r="D803" s="142"/>
      <c r="E803" s="142"/>
      <c r="F803" s="143"/>
      <c r="G803" s="152"/>
      <c r="H803" s="152"/>
      <c r="I803" s="143"/>
      <c r="J803" s="143"/>
      <c r="K803" s="143"/>
      <c r="L803" s="143"/>
      <c r="M803" s="143"/>
      <c r="N803" s="143"/>
      <c r="O803" s="143"/>
      <c r="P803" s="143"/>
      <c r="Q803" s="143"/>
      <c r="R803" s="143"/>
      <c r="S803" s="143"/>
      <c r="T803" s="143"/>
      <c r="U803" s="143"/>
      <c r="V803" s="143"/>
      <c r="W803" s="143"/>
      <c r="X803" s="143"/>
      <c r="Y803" s="143"/>
      <c r="Z803" s="143"/>
    </row>
    <row r="804" spans="1:26" ht="18.75">
      <c r="A804" s="143"/>
      <c r="B804" s="140"/>
      <c r="C804" s="141"/>
      <c r="D804" s="142"/>
      <c r="E804" s="142"/>
      <c r="F804" s="143"/>
      <c r="G804" s="150"/>
      <c r="H804" s="150"/>
      <c r="I804" s="143"/>
      <c r="J804" s="143"/>
      <c r="K804" s="143"/>
      <c r="L804" s="143"/>
      <c r="M804" s="143"/>
      <c r="N804" s="143"/>
      <c r="O804" s="143"/>
      <c r="P804" s="143"/>
      <c r="Q804" s="143"/>
      <c r="R804" s="143"/>
      <c r="S804" s="143"/>
      <c r="T804" s="143"/>
      <c r="U804" s="143"/>
      <c r="V804" s="143"/>
      <c r="W804" s="143"/>
      <c r="X804" s="143"/>
      <c r="Y804" s="143"/>
      <c r="Z804" s="143"/>
    </row>
    <row r="805" spans="1:26" ht="18.75">
      <c r="A805" s="143"/>
      <c r="B805" s="140"/>
      <c r="C805" s="141"/>
      <c r="D805" s="142"/>
      <c r="E805" s="142"/>
      <c r="F805" s="143"/>
      <c r="G805" s="152"/>
      <c r="H805" s="152"/>
      <c r="I805" s="143"/>
      <c r="J805" s="143"/>
      <c r="K805" s="143"/>
      <c r="L805" s="143"/>
      <c r="M805" s="143"/>
      <c r="N805" s="143"/>
      <c r="O805" s="143"/>
      <c r="P805" s="143"/>
      <c r="Q805" s="143"/>
      <c r="R805" s="143"/>
      <c r="S805" s="143"/>
      <c r="T805" s="143"/>
      <c r="U805" s="143"/>
      <c r="V805" s="143"/>
      <c r="W805" s="143"/>
      <c r="X805" s="143"/>
      <c r="Y805" s="143"/>
      <c r="Z805" s="143"/>
    </row>
    <row r="806" spans="1:26" ht="18.75">
      <c r="A806" s="143"/>
      <c r="B806" s="140"/>
      <c r="C806" s="141"/>
      <c r="D806" s="142"/>
      <c r="E806" s="142"/>
      <c r="F806" s="143"/>
      <c r="G806" s="150"/>
      <c r="H806" s="150"/>
      <c r="I806" s="143"/>
      <c r="J806" s="143"/>
      <c r="K806" s="143"/>
      <c r="L806" s="143"/>
      <c r="M806" s="143"/>
      <c r="N806" s="143"/>
      <c r="O806" s="143"/>
      <c r="P806" s="143"/>
      <c r="Q806" s="143"/>
      <c r="R806" s="143"/>
      <c r="S806" s="143"/>
      <c r="T806" s="143"/>
      <c r="U806" s="143"/>
      <c r="V806" s="143"/>
      <c r="W806" s="143"/>
      <c r="X806" s="143"/>
      <c r="Y806" s="143"/>
      <c r="Z806" s="143"/>
    </row>
    <row r="807" spans="1:26" ht="18.75">
      <c r="A807" s="143"/>
      <c r="B807" s="140"/>
      <c r="C807" s="141"/>
      <c r="D807" s="142"/>
      <c r="E807" s="142"/>
      <c r="F807" s="143"/>
      <c r="G807" s="152"/>
      <c r="H807" s="152"/>
      <c r="I807" s="143"/>
      <c r="J807" s="143"/>
      <c r="K807" s="143"/>
      <c r="L807" s="143"/>
      <c r="M807" s="143"/>
      <c r="N807" s="143"/>
      <c r="O807" s="143"/>
      <c r="P807" s="143"/>
      <c r="Q807" s="143"/>
      <c r="R807" s="143"/>
      <c r="S807" s="143"/>
      <c r="T807" s="143"/>
      <c r="U807" s="143"/>
      <c r="V807" s="143"/>
      <c r="W807" s="143"/>
      <c r="X807" s="143"/>
      <c r="Y807" s="143"/>
      <c r="Z807" s="143"/>
    </row>
    <row r="808" spans="1:26" ht="18.75">
      <c r="A808" s="143"/>
      <c r="B808" s="140"/>
      <c r="C808" s="141"/>
      <c r="D808" s="142"/>
      <c r="E808" s="142"/>
      <c r="F808" s="143"/>
      <c r="G808" s="150"/>
      <c r="H808" s="150"/>
      <c r="I808" s="143"/>
      <c r="J808" s="143"/>
      <c r="K808" s="143"/>
      <c r="L808" s="143"/>
      <c r="M808" s="143"/>
      <c r="N808" s="143"/>
      <c r="O808" s="143"/>
      <c r="P808" s="143"/>
      <c r="Q808" s="143"/>
      <c r="R808" s="143"/>
      <c r="S808" s="143"/>
      <c r="T808" s="143"/>
      <c r="U808" s="143"/>
      <c r="V808" s="143"/>
      <c r="W808" s="143"/>
      <c r="X808" s="143"/>
      <c r="Y808" s="143"/>
      <c r="Z808" s="143"/>
    </row>
    <row r="809" spans="1:26" ht="18.75">
      <c r="A809" s="143"/>
      <c r="B809" s="140"/>
      <c r="C809" s="141"/>
      <c r="D809" s="142"/>
      <c r="E809" s="142"/>
      <c r="F809" s="143"/>
      <c r="G809" s="152"/>
      <c r="H809" s="152"/>
      <c r="I809" s="143"/>
      <c r="J809" s="143"/>
      <c r="K809" s="143"/>
      <c r="L809" s="143"/>
      <c r="M809" s="143"/>
      <c r="N809" s="143"/>
      <c r="O809" s="143"/>
      <c r="P809" s="143"/>
      <c r="Q809" s="143"/>
      <c r="R809" s="143"/>
      <c r="S809" s="143"/>
      <c r="T809" s="143"/>
      <c r="U809" s="143"/>
      <c r="V809" s="143"/>
      <c r="W809" s="143"/>
      <c r="X809" s="143"/>
      <c r="Y809" s="143"/>
      <c r="Z809" s="143"/>
    </row>
    <row r="810" spans="1:26" ht="18.75">
      <c r="A810" s="143"/>
      <c r="B810" s="140"/>
      <c r="C810" s="141"/>
      <c r="D810" s="142"/>
      <c r="E810" s="142"/>
      <c r="F810" s="143"/>
      <c r="G810" s="150"/>
      <c r="H810" s="150"/>
      <c r="I810" s="143"/>
      <c r="J810" s="143"/>
      <c r="K810" s="143"/>
      <c r="L810" s="143"/>
      <c r="M810" s="143"/>
      <c r="N810" s="143"/>
      <c r="O810" s="143"/>
      <c r="P810" s="143"/>
      <c r="Q810" s="143"/>
      <c r="R810" s="143"/>
      <c r="S810" s="143"/>
      <c r="T810" s="143"/>
      <c r="U810" s="143"/>
      <c r="V810" s="143"/>
      <c r="W810" s="143"/>
      <c r="X810" s="143"/>
      <c r="Y810" s="143"/>
      <c r="Z810" s="143"/>
    </row>
    <row r="811" spans="1:26" ht="18.75">
      <c r="A811" s="143"/>
      <c r="B811" s="140"/>
      <c r="C811" s="141"/>
      <c r="D811" s="142"/>
      <c r="E811" s="142"/>
      <c r="F811" s="143"/>
      <c r="G811" s="152"/>
      <c r="H811" s="152"/>
      <c r="I811" s="143"/>
      <c r="J811" s="143"/>
      <c r="K811" s="143"/>
      <c r="L811" s="143"/>
      <c r="M811" s="143"/>
      <c r="N811" s="143"/>
      <c r="O811" s="143"/>
      <c r="P811" s="143"/>
      <c r="Q811" s="143"/>
      <c r="R811" s="143"/>
      <c r="S811" s="143"/>
      <c r="T811" s="143"/>
      <c r="U811" s="143"/>
      <c r="V811" s="143"/>
      <c r="W811" s="143"/>
      <c r="X811" s="143"/>
      <c r="Y811" s="143"/>
      <c r="Z811" s="143"/>
    </row>
    <row r="812" spans="1:26" ht="18.75">
      <c r="A812" s="143"/>
      <c r="B812" s="140"/>
      <c r="C812" s="141"/>
      <c r="D812" s="142"/>
      <c r="E812" s="142"/>
      <c r="F812" s="143"/>
      <c r="G812" s="150"/>
      <c r="H812" s="150"/>
      <c r="I812" s="143"/>
      <c r="J812" s="143"/>
      <c r="K812" s="143"/>
      <c r="L812" s="143"/>
      <c r="M812" s="143"/>
      <c r="N812" s="143"/>
      <c r="O812" s="143"/>
      <c r="P812" s="143"/>
      <c r="Q812" s="143"/>
      <c r="R812" s="143"/>
      <c r="S812" s="143"/>
      <c r="T812" s="143"/>
      <c r="U812" s="143"/>
      <c r="V812" s="143"/>
      <c r="W812" s="143"/>
      <c r="X812" s="143"/>
      <c r="Y812" s="143"/>
      <c r="Z812" s="143"/>
    </row>
    <row r="813" spans="1:26" ht="18.75">
      <c r="A813" s="143"/>
      <c r="B813" s="140"/>
      <c r="C813" s="141"/>
      <c r="D813" s="142"/>
      <c r="E813" s="142"/>
      <c r="F813" s="143"/>
      <c r="G813" s="152"/>
      <c r="H813" s="152"/>
      <c r="I813" s="143"/>
      <c r="J813" s="143"/>
      <c r="K813" s="143"/>
      <c r="L813" s="143"/>
      <c r="M813" s="143"/>
      <c r="N813" s="143"/>
      <c r="O813" s="143"/>
      <c r="P813" s="143"/>
      <c r="Q813" s="143"/>
      <c r="R813" s="143"/>
      <c r="S813" s="143"/>
      <c r="T813" s="143"/>
      <c r="U813" s="143"/>
      <c r="V813" s="143"/>
      <c r="W813" s="143"/>
      <c r="X813" s="143"/>
      <c r="Y813" s="143"/>
      <c r="Z813" s="143"/>
    </row>
    <row r="814" spans="1:26" ht="18.75">
      <c r="A814" s="143"/>
      <c r="B814" s="140"/>
      <c r="C814" s="141"/>
      <c r="D814" s="142"/>
      <c r="E814" s="142"/>
      <c r="F814" s="143"/>
      <c r="G814" s="150"/>
      <c r="H814" s="150"/>
      <c r="I814" s="143"/>
      <c r="J814" s="143"/>
      <c r="K814" s="143"/>
      <c r="L814" s="143"/>
      <c r="M814" s="143"/>
      <c r="N814" s="143"/>
      <c r="O814" s="143"/>
      <c r="P814" s="143"/>
      <c r="Q814" s="143"/>
      <c r="R814" s="143"/>
      <c r="S814" s="143"/>
      <c r="T814" s="143"/>
      <c r="U814" s="143"/>
      <c r="V814" s="143"/>
      <c r="W814" s="143"/>
      <c r="X814" s="143"/>
      <c r="Y814" s="143"/>
      <c r="Z814" s="143"/>
    </row>
    <row r="815" spans="1:26" ht="18.75">
      <c r="A815" s="143"/>
      <c r="B815" s="140"/>
      <c r="C815" s="141"/>
      <c r="D815" s="142"/>
      <c r="E815" s="142"/>
      <c r="F815" s="143"/>
      <c r="G815" s="152"/>
      <c r="H815" s="152"/>
      <c r="I815" s="143"/>
      <c r="J815" s="143"/>
      <c r="K815" s="143"/>
      <c r="L815" s="143"/>
      <c r="M815" s="143"/>
      <c r="N815" s="143"/>
      <c r="O815" s="143"/>
      <c r="P815" s="143"/>
      <c r="Q815" s="143"/>
      <c r="R815" s="143"/>
      <c r="S815" s="143"/>
      <c r="T815" s="143"/>
      <c r="U815" s="143"/>
      <c r="V815" s="143"/>
      <c r="W815" s="143"/>
      <c r="X815" s="143"/>
      <c r="Y815" s="143"/>
      <c r="Z815" s="143"/>
    </row>
    <row r="816" spans="1:26" ht="18.75">
      <c r="A816" s="143"/>
      <c r="B816" s="140"/>
      <c r="C816" s="141"/>
      <c r="D816" s="142"/>
      <c r="E816" s="142"/>
      <c r="F816" s="143"/>
      <c r="G816" s="150"/>
      <c r="H816" s="150"/>
      <c r="I816" s="143"/>
      <c r="J816" s="143"/>
      <c r="K816" s="143"/>
      <c r="L816" s="143"/>
      <c r="M816" s="143"/>
      <c r="N816" s="143"/>
      <c r="O816" s="143"/>
      <c r="P816" s="143"/>
      <c r="Q816" s="143"/>
      <c r="R816" s="143"/>
      <c r="S816" s="143"/>
      <c r="T816" s="143"/>
      <c r="U816" s="143"/>
      <c r="V816" s="143"/>
      <c r="W816" s="143"/>
      <c r="X816" s="143"/>
      <c r="Y816" s="143"/>
      <c r="Z816" s="143"/>
    </row>
    <row r="817" spans="1:26" ht="18.75">
      <c r="A817" s="143"/>
      <c r="B817" s="140"/>
      <c r="C817" s="141"/>
      <c r="D817" s="142"/>
      <c r="E817" s="142"/>
      <c r="F817" s="143"/>
      <c r="G817" s="152"/>
      <c r="H817" s="152"/>
      <c r="I817" s="143"/>
      <c r="J817" s="143"/>
      <c r="K817" s="143"/>
      <c r="L817" s="143"/>
      <c r="M817" s="143"/>
      <c r="N817" s="143"/>
      <c r="O817" s="143"/>
      <c r="P817" s="143"/>
      <c r="Q817" s="143"/>
      <c r="R817" s="143"/>
      <c r="S817" s="143"/>
      <c r="T817" s="143"/>
      <c r="U817" s="143"/>
      <c r="V817" s="143"/>
      <c r="W817" s="143"/>
      <c r="X817" s="143"/>
      <c r="Y817" s="143"/>
      <c r="Z817" s="143"/>
    </row>
    <row r="818" spans="1:26" ht="18.75">
      <c r="A818" s="143"/>
      <c r="B818" s="140"/>
      <c r="C818" s="141"/>
      <c r="D818" s="142"/>
      <c r="E818" s="142"/>
      <c r="F818" s="143"/>
      <c r="G818" s="150"/>
      <c r="H818" s="150"/>
      <c r="I818" s="143"/>
      <c r="J818" s="143"/>
      <c r="K818" s="143"/>
      <c r="L818" s="143"/>
      <c r="M818" s="143"/>
      <c r="N818" s="143"/>
      <c r="O818" s="143"/>
      <c r="P818" s="143"/>
      <c r="Q818" s="143"/>
      <c r="R818" s="143"/>
      <c r="S818" s="143"/>
      <c r="T818" s="143"/>
      <c r="U818" s="143"/>
      <c r="V818" s="143"/>
      <c r="W818" s="143"/>
      <c r="X818" s="143"/>
      <c r="Y818" s="143"/>
      <c r="Z818" s="143"/>
    </row>
    <row r="819" spans="1:26" ht="18.75">
      <c r="A819" s="143"/>
      <c r="B819" s="140"/>
      <c r="C819" s="141"/>
      <c r="D819" s="142"/>
      <c r="E819" s="142"/>
      <c r="F819" s="143"/>
      <c r="G819" s="152"/>
      <c r="H819" s="152"/>
      <c r="I819" s="143"/>
      <c r="J819" s="143"/>
      <c r="K819" s="143"/>
      <c r="L819" s="143"/>
      <c r="M819" s="143"/>
      <c r="N819" s="143"/>
      <c r="O819" s="143"/>
      <c r="P819" s="143"/>
      <c r="Q819" s="143"/>
      <c r="R819" s="143"/>
      <c r="S819" s="143"/>
      <c r="T819" s="143"/>
      <c r="U819" s="143"/>
      <c r="V819" s="143"/>
      <c r="W819" s="143"/>
      <c r="X819" s="143"/>
      <c r="Y819" s="143"/>
      <c r="Z819" s="143"/>
    </row>
    <row r="820" spans="1:26" ht="18.75">
      <c r="A820" s="143"/>
      <c r="B820" s="140"/>
      <c r="C820" s="141"/>
      <c r="D820" s="142"/>
      <c r="E820" s="142"/>
      <c r="F820" s="143"/>
      <c r="G820" s="150"/>
      <c r="H820" s="150"/>
      <c r="I820" s="143"/>
      <c r="J820" s="143"/>
      <c r="K820" s="143"/>
      <c r="L820" s="143"/>
      <c r="M820" s="143"/>
      <c r="N820" s="143"/>
      <c r="O820" s="143"/>
      <c r="P820" s="143"/>
      <c r="Q820" s="143"/>
      <c r="R820" s="143"/>
      <c r="S820" s="143"/>
      <c r="T820" s="143"/>
      <c r="U820" s="143"/>
      <c r="V820" s="143"/>
      <c r="W820" s="143"/>
      <c r="X820" s="143"/>
      <c r="Y820" s="143"/>
      <c r="Z820" s="143"/>
    </row>
    <row r="821" spans="1:26" ht="18.75">
      <c r="A821" s="143"/>
      <c r="B821" s="140"/>
      <c r="C821" s="141"/>
      <c r="D821" s="142"/>
      <c r="E821" s="142"/>
      <c r="F821" s="143"/>
      <c r="G821" s="152"/>
      <c r="H821" s="152"/>
      <c r="I821" s="143"/>
      <c r="J821" s="143"/>
      <c r="K821" s="143"/>
      <c r="L821" s="143"/>
      <c r="M821" s="143"/>
      <c r="N821" s="143"/>
      <c r="O821" s="143"/>
      <c r="P821" s="143"/>
      <c r="Q821" s="143"/>
      <c r="R821" s="143"/>
      <c r="S821" s="143"/>
      <c r="T821" s="143"/>
      <c r="U821" s="143"/>
      <c r="V821" s="143"/>
      <c r="W821" s="143"/>
      <c r="X821" s="143"/>
      <c r="Y821" s="143"/>
      <c r="Z821" s="143"/>
    </row>
    <row r="822" spans="1:26" ht="18.75">
      <c r="A822" s="143"/>
      <c r="B822" s="140"/>
      <c r="C822" s="141"/>
      <c r="D822" s="142"/>
      <c r="E822" s="142"/>
      <c r="F822" s="143"/>
      <c r="G822" s="150"/>
      <c r="H822" s="150"/>
      <c r="I822" s="143"/>
      <c r="J822" s="143"/>
      <c r="K822" s="143"/>
      <c r="L822" s="143"/>
      <c r="M822" s="143"/>
      <c r="N822" s="143"/>
      <c r="O822" s="143"/>
      <c r="P822" s="143"/>
      <c r="Q822" s="143"/>
      <c r="R822" s="143"/>
      <c r="S822" s="143"/>
      <c r="T822" s="143"/>
      <c r="U822" s="143"/>
      <c r="V822" s="143"/>
      <c r="W822" s="143"/>
      <c r="X822" s="143"/>
      <c r="Y822" s="143"/>
      <c r="Z822" s="143"/>
    </row>
    <row r="823" spans="1:26" ht="18.75">
      <c r="A823" s="143"/>
      <c r="B823" s="140"/>
      <c r="C823" s="141"/>
      <c r="D823" s="142"/>
      <c r="E823" s="142"/>
      <c r="F823" s="143"/>
      <c r="G823" s="152"/>
      <c r="H823" s="152"/>
      <c r="I823" s="143"/>
      <c r="J823" s="143"/>
      <c r="K823" s="143"/>
      <c r="L823" s="143"/>
      <c r="M823" s="143"/>
      <c r="N823" s="143"/>
      <c r="O823" s="143"/>
      <c r="P823" s="143"/>
      <c r="Q823" s="143"/>
      <c r="R823" s="143"/>
      <c r="S823" s="143"/>
      <c r="T823" s="143"/>
      <c r="U823" s="143"/>
      <c r="V823" s="143"/>
      <c r="W823" s="143"/>
      <c r="X823" s="143"/>
      <c r="Y823" s="143"/>
      <c r="Z823" s="143"/>
    </row>
    <row r="824" spans="1:26" ht="18.75">
      <c r="A824" s="143"/>
      <c r="B824" s="140"/>
      <c r="C824" s="141"/>
      <c r="D824" s="142"/>
      <c r="E824" s="142"/>
      <c r="F824" s="143"/>
      <c r="G824" s="150"/>
      <c r="H824" s="150"/>
      <c r="I824" s="143"/>
      <c r="J824" s="143"/>
      <c r="K824" s="143"/>
      <c r="L824" s="143"/>
      <c r="M824" s="143"/>
      <c r="N824" s="143"/>
      <c r="O824" s="143"/>
      <c r="P824" s="143"/>
      <c r="Q824" s="143"/>
      <c r="R824" s="143"/>
      <c r="S824" s="143"/>
      <c r="T824" s="143"/>
      <c r="U824" s="143"/>
      <c r="V824" s="143"/>
      <c r="W824" s="143"/>
      <c r="X824" s="143"/>
      <c r="Y824" s="143"/>
      <c r="Z824" s="143"/>
    </row>
    <row r="825" spans="1:26" ht="18.75">
      <c r="A825" s="143"/>
      <c r="B825" s="140"/>
      <c r="C825" s="141"/>
      <c r="D825" s="142"/>
      <c r="E825" s="142"/>
      <c r="F825" s="143"/>
      <c r="G825" s="152"/>
      <c r="H825" s="152"/>
      <c r="I825" s="143"/>
      <c r="J825" s="143"/>
      <c r="K825" s="143"/>
      <c r="L825" s="143"/>
      <c r="M825" s="143"/>
      <c r="N825" s="143"/>
      <c r="O825" s="143"/>
      <c r="P825" s="143"/>
      <c r="Q825" s="143"/>
      <c r="R825" s="143"/>
      <c r="S825" s="143"/>
      <c r="T825" s="143"/>
      <c r="U825" s="143"/>
      <c r="V825" s="143"/>
      <c r="W825" s="143"/>
      <c r="X825" s="143"/>
      <c r="Y825" s="143"/>
      <c r="Z825" s="143"/>
    </row>
    <row r="826" spans="1:26" ht="18.75">
      <c r="A826" s="143"/>
      <c r="B826" s="140"/>
      <c r="C826" s="141"/>
      <c r="D826" s="142"/>
      <c r="E826" s="142"/>
      <c r="F826" s="143"/>
      <c r="G826" s="150"/>
      <c r="H826" s="150"/>
      <c r="I826" s="143"/>
      <c r="J826" s="143"/>
      <c r="K826" s="143"/>
      <c r="L826" s="143"/>
      <c r="M826" s="143"/>
      <c r="N826" s="143"/>
      <c r="O826" s="143"/>
      <c r="P826" s="143"/>
      <c r="Q826" s="143"/>
      <c r="R826" s="143"/>
      <c r="S826" s="143"/>
      <c r="T826" s="143"/>
      <c r="U826" s="143"/>
      <c r="V826" s="143"/>
      <c r="W826" s="143"/>
      <c r="X826" s="143"/>
      <c r="Y826" s="143"/>
      <c r="Z826" s="143"/>
    </row>
    <row r="827" spans="1:26" ht="18.75">
      <c r="A827" s="143"/>
      <c r="B827" s="140"/>
      <c r="C827" s="141"/>
      <c r="D827" s="142"/>
      <c r="E827" s="142"/>
      <c r="F827" s="143"/>
      <c r="G827" s="152"/>
      <c r="H827" s="152"/>
      <c r="I827" s="143"/>
      <c r="J827" s="143"/>
      <c r="K827" s="143"/>
      <c r="L827" s="143"/>
      <c r="M827" s="143"/>
      <c r="N827" s="143"/>
      <c r="O827" s="143"/>
      <c r="P827" s="143"/>
      <c r="Q827" s="143"/>
      <c r="R827" s="143"/>
      <c r="S827" s="143"/>
      <c r="T827" s="143"/>
      <c r="U827" s="143"/>
      <c r="V827" s="143"/>
      <c r="W827" s="143"/>
      <c r="X827" s="143"/>
      <c r="Y827" s="143"/>
      <c r="Z827" s="143"/>
    </row>
    <row r="828" spans="1:26" ht="18.75">
      <c r="A828" s="143"/>
      <c r="B828" s="140"/>
      <c r="C828" s="141"/>
      <c r="D828" s="142"/>
      <c r="E828" s="142"/>
      <c r="F828" s="143"/>
      <c r="G828" s="150"/>
      <c r="H828" s="150"/>
      <c r="I828" s="143"/>
      <c r="J828" s="143"/>
      <c r="K828" s="143"/>
      <c r="L828" s="143"/>
      <c r="M828" s="143"/>
      <c r="N828" s="143"/>
      <c r="O828" s="143"/>
      <c r="P828" s="143"/>
      <c r="Q828" s="143"/>
      <c r="R828" s="143"/>
      <c r="S828" s="143"/>
      <c r="T828" s="143"/>
      <c r="U828" s="143"/>
      <c r="V828" s="143"/>
      <c r="W828" s="143"/>
      <c r="X828" s="143"/>
      <c r="Y828" s="143"/>
      <c r="Z828" s="143"/>
    </row>
    <row r="829" spans="1:26" ht="18.75">
      <c r="A829" s="143"/>
      <c r="B829" s="140"/>
      <c r="C829" s="141"/>
      <c r="D829" s="142"/>
      <c r="E829" s="142"/>
      <c r="F829" s="143"/>
      <c r="G829" s="152"/>
      <c r="H829" s="152"/>
      <c r="I829" s="143"/>
      <c r="J829" s="143"/>
      <c r="K829" s="143"/>
      <c r="L829" s="143"/>
      <c r="M829" s="143"/>
      <c r="N829" s="143"/>
      <c r="O829" s="143"/>
      <c r="P829" s="143"/>
      <c r="Q829" s="143"/>
      <c r="R829" s="143"/>
      <c r="S829" s="143"/>
      <c r="T829" s="143"/>
      <c r="U829" s="143"/>
      <c r="V829" s="143"/>
      <c r="W829" s="143"/>
      <c r="X829" s="143"/>
      <c r="Y829" s="143"/>
      <c r="Z829" s="143"/>
    </row>
    <row r="830" spans="1:26" ht="18.75">
      <c r="A830" s="143"/>
      <c r="B830" s="140"/>
      <c r="C830" s="141"/>
      <c r="D830" s="142"/>
      <c r="E830" s="142"/>
      <c r="F830" s="143"/>
      <c r="G830" s="150"/>
      <c r="H830" s="150"/>
      <c r="I830" s="143"/>
      <c r="J830" s="143"/>
      <c r="K830" s="143"/>
      <c r="L830" s="143"/>
      <c r="M830" s="143"/>
      <c r="N830" s="143"/>
      <c r="O830" s="143"/>
      <c r="P830" s="143"/>
      <c r="Q830" s="143"/>
      <c r="R830" s="143"/>
      <c r="S830" s="143"/>
      <c r="T830" s="143"/>
      <c r="U830" s="143"/>
      <c r="V830" s="143"/>
      <c r="W830" s="143"/>
      <c r="X830" s="143"/>
      <c r="Y830" s="143"/>
      <c r="Z830" s="143"/>
    </row>
    <row r="831" spans="1:26" ht="18.75">
      <c r="A831" s="143"/>
      <c r="B831" s="140"/>
      <c r="C831" s="141"/>
      <c r="D831" s="142"/>
      <c r="E831" s="142"/>
      <c r="F831" s="143"/>
      <c r="G831" s="152"/>
      <c r="H831" s="152"/>
      <c r="I831" s="143"/>
      <c r="J831" s="143"/>
      <c r="K831" s="143"/>
      <c r="L831" s="143"/>
      <c r="M831" s="143"/>
      <c r="N831" s="143"/>
      <c r="O831" s="143"/>
      <c r="P831" s="143"/>
      <c r="Q831" s="143"/>
      <c r="R831" s="143"/>
      <c r="S831" s="143"/>
      <c r="T831" s="143"/>
      <c r="U831" s="143"/>
      <c r="V831" s="143"/>
      <c r="W831" s="143"/>
      <c r="X831" s="143"/>
      <c r="Y831" s="143"/>
      <c r="Z831" s="143"/>
    </row>
    <row r="832" spans="1:26" ht="18.75">
      <c r="A832" s="143"/>
      <c r="B832" s="140"/>
      <c r="C832" s="141"/>
      <c r="D832" s="142"/>
      <c r="E832" s="142"/>
      <c r="F832" s="143"/>
      <c r="G832" s="150"/>
      <c r="H832" s="150"/>
      <c r="I832" s="143"/>
      <c r="J832" s="143"/>
      <c r="K832" s="143"/>
      <c r="L832" s="143"/>
      <c r="M832" s="143"/>
      <c r="N832" s="143"/>
      <c r="O832" s="143"/>
      <c r="P832" s="143"/>
      <c r="Q832" s="143"/>
      <c r="R832" s="143"/>
      <c r="S832" s="143"/>
      <c r="T832" s="143"/>
      <c r="U832" s="143"/>
      <c r="V832" s="143"/>
      <c r="W832" s="143"/>
      <c r="X832" s="143"/>
      <c r="Y832" s="143"/>
      <c r="Z832" s="143"/>
    </row>
    <row r="833" spans="1:26" ht="18.75">
      <c r="A833" s="143"/>
      <c r="B833" s="140"/>
      <c r="C833" s="141"/>
      <c r="D833" s="142"/>
      <c r="E833" s="142"/>
      <c r="F833" s="143"/>
      <c r="G833" s="152"/>
      <c r="H833" s="152"/>
      <c r="I833" s="143"/>
      <c r="J833" s="143"/>
      <c r="K833" s="143"/>
      <c r="L833" s="143"/>
      <c r="M833" s="143"/>
      <c r="N833" s="143"/>
      <c r="O833" s="143"/>
      <c r="P833" s="143"/>
      <c r="Q833" s="143"/>
      <c r="R833" s="143"/>
      <c r="S833" s="143"/>
      <c r="T833" s="143"/>
      <c r="U833" s="143"/>
      <c r="V833" s="143"/>
      <c r="W833" s="143"/>
      <c r="X833" s="143"/>
      <c r="Y833" s="143"/>
      <c r="Z833" s="143"/>
    </row>
    <row r="834" spans="1:26" ht="18.75">
      <c r="A834" s="143"/>
      <c r="B834" s="140"/>
      <c r="C834" s="141"/>
      <c r="D834" s="142"/>
      <c r="E834" s="142"/>
      <c r="F834" s="143"/>
      <c r="G834" s="150"/>
      <c r="H834" s="150"/>
      <c r="I834" s="143"/>
      <c r="J834" s="143"/>
      <c r="K834" s="143"/>
      <c r="L834" s="143"/>
      <c r="M834" s="143"/>
      <c r="N834" s="143"/>
      <c r="O834" s="143"/>
      <c r="P834" s="143"/>
      <c r="Q834" s="143"/>
      <c r="R834" s="143"/>
      <c r="S834" s="143"/>
      <c r="T834" s="143"/>
      <c r="U834" s="143"/>
      <c r="V834" s="143"/>
      <c r="W834" s="143"/>
      <c r="X834" s="143"/>
      <c r="Y834" s="143"/>
      <c r="Z834" s="143"/>
    </row>
    <row r="835" spans="1:26" ht="18.75">
      <c r="A835" s="143"/>
      <c r="B835" s="140"/>
      <c r="C835" s="141"/>
      <c r="D835" s="142"/>
      <c r="E835" s="142"/>
      <c r="F835" s="143"/>
      <c r="G835" s="152"/>
      <c r="H835" s="152"/>
      <c r="I835" s="143"/>
      <c r="J835" s="143"/>
      <c r="K835" s="143"/>
      <c r="L835" s="143"/>
      <c r="M835" s="143"/>
      <c r="N835" s="143"/>
      <c r="O835" s="143"/>
      <c r="P835" s="143"/>
      <c r="Q835" s="143"/>
      <c r="R835" s="143"/>
      <c r="S835" s="143"/>
      <c r="T835" s="143"/>
      <c r="U835" s="143"/>
      <c r="V835" s="143"/>
      <c r="W835" s="143"/>
      <c r="X835" s="143"/>
      <c r="Y835" s="143"/>
      <c r="Z835" s="143"/>
    </row>
    <row r="836" spans="1:26" ht="18.75">
      <c r="A836" s="143"/>
      <c r="B836" s="140"/>
      <c r="C836" s="141"/>
      <c r="D836" s="142"/>
      <c r="E836" s="142"/>
      <c r="F836" s="143"/>
      <c r="G836" s="150"/>
      <c r="H836" s="150"/>
      <c r="I836" s="143"/>
      <c r="J836" s="143"/>
      <c r="K836" s="143"/>
      <c r="L836" s="143"/>
      <c r="M836" s="143"/>
      <c r="N836" s="143"/>
      <c r="O836" s="143"/>
      <c r="P836" s="143"/>
      <c r="Q836" s="143"/>
      <c r="R836" s="143"/>
      <c r="S836" s="143"/>
      <c r="T836" s="143"/>
      <c r="U836" s="143"/>
      <c r="V836" s="143"/>
      <c r="W836" s="143"/>
      <c r="X836" s="143"/>
      <c r="Y836" s="143"/>
      <c r="Z836" s="143"/>
    </row>
    <row r="837" spans="1:26" ht="18.75">
      <c r="A837" s="143"/>
      <c r="B837" s="140"/>
      <c r="C837" s="141"/>
      <c r="D837" s="142"/>
      <c r="E837" s="142"/>
      <c r="F837" s="143"/>
      <c r="G837" s="152"/>
      <c r="H837" s="152"/>
      <c r="I837" s="143"/>
      <c r="J837" s="143"/>
      <c r="K837" s="143"/>
      <c r="L837" s="143"/>
      <c r="M837" s="143"/>
      <c r="N837" s="143"/>
      <c r="O837" s="143"/>
      <c r="P837" s="143"/>
      <c r="Q837" s="143"/>
      <c r="R837" s="143"/>
      <c r="S837" s="143"/>
      <c r="T837" s="143"/>
      <c r="U837" s="143"/>
      <c r="V837" s="143"/>
      <c r="W837" s="143"/>
      <c r="X837" s="143"/>
      <c r="Y837" s="143"/>
      <c r="Z837" s="143"/>
    </row>
    <row r="838" spans="1:26" ht="18.75">
      <c r="A838" s="143"/>
      <c r="B838" s="140"/>
      <c r="C838" s="141"/>
      <c r="D838" s="142"/>
      <c r="E838" s="142"/>
      <c r="F838" s="143"/>
      <c r="G838" s="150"/>
      <c r="H838" s="150"/>
      <c r="I838" s="143"/>
      <c r="J838" s="143"/>
      <c r="K838" s="143"/>
      <c r="L838" s="143"/>
      <c r="M838" s="143"/>
      <c r="N838" s="143"/>
      <c r="O838" s="143"/>
      <c r="P838" s="143"/>
      <c r="Q838" s="143"/>
      <c r="R838" s="143"/>
      <c r="S838" s="143"/>
      <c r="T838" s="143"/>
      <c r="U838" s="143"/>
      <c r="V838" s="143"/>
      <c r="W838" s="143"/>
      <c r="X838" s="143"/>
      <c r="Y838" s="143"/>
      <c r="Z838" s="143"/>
    </row>
    <row r="839" spans="1:26" ht="18.75">
      <c r="A839" s="143"/>
      <c r="B839" s="140"/>
      <c r="C839" s="141"/>
      <c r="D839" s="142"/>
      <c r="E839" s="142"/>
      <c r="F839" s="143"/>
      <c r="G839" s="152"/>
      <c r="H839" s="152"/>
      <c r="I839" s="143"/>
      <c r="J839" s="143"/>
      <c r="K839" s="143"/>
      <c r="L839" s="143"/>
      <c r="M839" s="143"/>
      <c r="N839" s="143"/>
      <c r="O839" s="143"/>
      <c r="P839" s="143"/>
      <c r="Q839" s="143"/>
      <c r="R839" s="143"/>
      <c r="S839" s="143"/>
      <c r="T839" s="143"/>
      <c r="U839" s="143"/>
      <c r="V839" s="143"/>
      <c r="W839" s="143"/>
      <c r="X839" s="143"/>
      <c r="Y839" s="143"/>
      <c r="Z839" s="143"/>
    </row>
    <row r="840" spans="1:26" ht="18.75">
      <c r="A840" s="143"/>
      <c r="B840" s="140"/>
      <c r="C840" s="141"/>
      <c r="D840" s="142"/>
      <c r="E840" s="142"/>
      <c r="F840" s="143"/>
      <c r="G840" s="150"/>
      <c r="H840" s="150"/>
      <c r="I840" s="143"/>
      <c r="J840" s="143"/>
      <c r="K840" s="143"/>
      <c r="L840" s="143"/>
      <c r="M840" s="143"/>
      <c r="N840" s="143"/>
      <c r="O840" s="143"/>
      <c r="P840" s="143"/>
      <c r="Q840" s="143"/>
      <c r="R840" s="143"/>
      <c r="S840" s="143"/>
      <c r="T840" s="143"/>
      <c r="U840" s="143"/>
      <c r="V840" s="143"/>
      <c r="W840" s="143"/>
      <c r="X840" s="143"/>
      <c r="Y840" s="143"/>
      <c r="Z840" s="143"/>
    </row>
    <row r="841" spans="1:26" ht="18.75">
      <c r="A841" s="143"/>
      <c r="B841" s="140"/>
      <c r="C841" s="141"/>
      <c r="D841" s="142"/>
      <c r="E841" s="142"/>
      <c r="F841" s="143"/>
      <c r="G841" s="152"/>
      <c r="H841" s="152"/>
      <c r="I841" s="143"/>
      <c r="J841" s="143"/>
      <c r="K841" s="143"/>
      <c r="L841" s="143"/>
      <c r="M841" s="143"/>
      <c r="N841" s="143"/>
      <c r="O841" s="143"/>
      <c r="P841" s="143"/>
      <c r="Q841" s="143"/>
      <c r="R841" s="143"/>
      <c r="S841" s="143"/>
      <c r="T841" s="143"/>
      <c r="U841" s="143"/>
      <c r="V841" s="143"/>
      <c r="W841" s="143"/>
      <c r="X841" s="143"/>
      <c r="Y841" s="143"/>
      <c r="Z841" s="143"/>
    </row>
    <row r="842" spans="1:26" ht="18.75">
      <c r="A842" s="143"/>
      <c r="B842" s="140"/>
      <c r="C842" s="141"/>
      <c r="D842" s="142"/>
      <c r="E842" s="142"/>
      <c r="F842" s="143"/>
      <c r="G842" s="150"/>
      <c r="H842" s="150"/>
      <c r="I842" s="143"/>
      <c r="J842" s="143"/>
      <c r="K842" s="143"/>
      <c r="L842" s="143"/>
      <c r="M842" s="143"/>
      <c r="N842" s="143"/>
      <c r="O842" s="143"/>
      <c r="P842" s="143"/>
      <c r="Q842" s="143"/>
      <c r="R842" s="143"/>
      <c r="S842" s="143"/>
      <c r="T842" s="143"/>
      <c r="U842" s="143"/>
      <c r="V842" s="143"/>
      <c r="W842" s="143"/>
      <c r="X842" s="143"/>
      <c r="Y842" s="143"/>
      <c r="Z842" s="143"/>
    </row>
    <row r="843" spans="1:26" ht="18.75">
      <c r="A843" s="143"/>
      <c r="B843" s="140"/>
      <c r="C843" s="141"/>
      <c r="D843" s="142"/>
      <c r="E843" s="142"/>
      <c r="F843" s="143"/>
      <c r="G843" s="152"/>
      <c r="H843" s="152"/>
      <c r="I843" s="143"/>
      <c r="J843" s="143"/>
      <c r="K843" s="143"/>
      <c r="L843" s="143"/>
      <c r="M843" s="143"/>
      <c r="N843" s="143"/>
      <c r="O843" s="143"/>
      <c r="P843" s="143"/>
      <c r="Q843" s="143"/>
      <c r="R843" s="143"/>
      <c r="S843" s="143"/>
      <c r="T843" s="143"/>
      <c r="U843" s="143"/>
      <c r="V843" s="143"/>
      <c r="W843" s="143"/>
      <c r="X843" s="143"/>
      <c r="Y843" s="143"/>
      <c r="Z843" s="143"/>
    </row>
    <row r="844" spans="1:26" ht="18.75">
      <c r="A844" s="143"/>
      <c r="B844" s="140"/>
      <c r="C844" s="141"/>
      <c r="D844" s="142"/>
      <c r="E844" s="142"/>
      <c r="F844" s="143"/>
      <c r="G844" s="150"/>
      <c r="H844" s="150"/>
      <c r="I844" s="143"/>
      <c r="J844" s="143"/>
      <c r="K844" s="143"/>
      <c r="L844" s="143"/>
      <c r="M844" s="143"/>
      <c r="N844" s="143"/>
      <c r="O844" s="143"/>
      <c r="P844" s="143"/>
      <c r="Q844" s="143"/>
      <c r="R844" s="143"/>
      <c r="S844" s="143"/>
      <c r="T844" s="143"/>
      <c r="U844" s="143"/>
      <c r="V844" s="143"/>
      <c r="W844" s="143"/>
      <c r="X844" s="143"/>
      <c r="Y844" s="143"/>
      <c r="Z844" s="143"/>
    </row>
    <row r="845" spans="1:26" ht="18.75">
      <c r="A845" s="143"/>
      <c r="B845" s="140"/>
      <c r="C845" s="141"/>
      <c r="D845" s="142"/>
      <c r="E845" s="142"/>
      <c r="F845" s="143"/>
      <c r="G845" s="152"/>
      <c r="H845" s="152"/>
      <c r="I845" s="143"/>
      <c r="J845" s="143"/>
      <c r="K845" s="143"/>
      <c r="L845" s="143"/>
      <c r="M845" s="143"/>
      <c r="N845" s="143"/>
      <c r="O845" s="143"/>
      <c r="P845" s="143"/>
      <c r="Q845" s="143"/>
      <c r="R845" s="143"/>
      <c r="S845" s="143"/>
      <c r="T845" s="143"/>
      <c r="U845" s="143"/>
      <c r="V845" s="143"/>
      <c r="W845" s="143"/>
      <c r="X845" s="143"/>
      <c r="Y845" s="143"/>
      <c r="Z845" s="143"/>
    </row>
    <row r="846" spans="1:26" ht="18.75">
      <c r="A846" s="143"/>
      <c r="B846" s="140"/>
      <c r="C846" s="141"/>
      <c r="D846" s="142"/>
      <c r="E846" s="142"/>
      <c r="F846" s="143"/>
      <c r="G846" s="150"/>
      <c r="H846" s="150"/>
      <c r="I846" s="143"/>
      <c r="J846" s="143"/>
      <c r="K846" s="143"/>
      <c r="L846" s="143"/>
      <c r="M846" s="143"/>
      <c r="N846" s="143"/>
      <c r="O846" s="143"/>
      <c r="P846" s="143"/>
      <c r="Q846" s="143"/>
      <c r="R846" s="143"/>
      <c r="S846" s="143"/>
      <c r="T846" s="143"/>
      <c r="U846" s="143"/>
      <c r="V846" s="143"/>
      <c r="W846" s="143"/>
      <c r="X846" s="143"/>
      <c r="Y846" s="143"/>
      <c r="Z846" s="143"/>
    </row>
    <row r="847" spans="1:26" ht="18.75">
      <c r="A847" s="143"/>
      <c r="B847" s="140"/>
      <c r="C847" s="141"/>
      <c r="D847" s="142"/>
      <c r="E847" s="142"/>
      <c r="F847" s="143"/>
      <c r="G847" s="152"/>
      <c r="H847" s="152"/>
      <c r="I847" s="143"/>
      <c r="J847" s="143"/>
      <c r="K847" s="143"/>
      <c r="L847" s="143"/>
      <c r="M847" s="143"/>
      <c r="N847" s="143"/>
      <c r="O847" s="143"/>
      <c r="P847" s="143"/>
      <c r="Q847" s="143"/>
      <c r="R847" s="143"/>
      <c r="S847" s="143"/>
      <c r="T847" s="143"/>
      <c r="U847" s="143"/>
      <c r="V847" s="143"/>
      <c r="W847" s="143"/>
      <c r="X847" s="143"/>
      <c r="Y847" s="143"/>
      <c r="Z847" s="143"/>
    </row>
    <row r="848" spans="1:26" ht="18.75">
      <c r="A848" s="143"/>
      <c r="B848" s="140"/>
      <c r="C848" s="141"/>
      <c r="D848" s="142"/>
      <c r="E848" s="142"/>
      <c r="F848" s="143"/>
      <c r="G848" s="150"/>
      <c r="H848" s="150"/>
      <c r="I848" s="143"/>
      <c r="J848" s="143"/>
      <c r="K848" s="143"/>
      <c r="L848" s="143"/>
      <c r="M848" s="143"/>
      <c r="N848" s="143"/>
      <c r="O848" s="143"/>
      <c r="P848" s="143"/>
      <c r="Q848" s="143"/>
      <c r="R848" s="143"/>
      <c r="S848" s="143"/>
      <c r="T848" s="143"/>
      <c r="U848" s="143"/>
      <c r="V848" s="143"/>
      <c r="W848" s="143"/>
      <c r="X848" s="143"/>
      <c r="Y848" s="143"/>
      <c r="Z848" s="143"/>
    </row>
    <row r="849" spans="1:26" ht="18.75">
      <c r="A849" s="143"/>
      <c r="B849" s="140"/>
      <c r="C849" s="141"/>
      <c r="D849" s="142"/>
      <c r="E849" s="142"/>
      <c r="F849" s="143"/>
      <c r="G849" s="152"/>
      <c r="H849" s="152"/>
      <c r="I849" s="143"/>
      <c r="J849" s="143"/>
      <c r="K849" s="143"/>
      <c r="L849" s="143"/>
      <c r="M849" s="143"/>
      <c r="N849" s="143"/>
      <c r="O849" s="143"/>
      <c r="P849" s="143"/>
      <c r="Q849" s="143"/>
      <c r="R849" s="143"/>
      <c r="S849" s="143"/>
      <c r="T849" s="143"/>
      <c r="U849" s="143"/>
      <c r="V849" s="143"/>
      <c r="W849" s="143"/>
      <c r="X849" s="143"/>
      <c r="Y849" s="143"/>
      <c r="Z849" s="143"/>
    </row>
    <row r="850" spans="1:26" ht="18.75">
      <c r="A850" s="143"/>
      <c r="B850" s="140"/>
      <c r="C850" s="141"/>
      <c r="D850" s="142"/>
      <c r="E850" s="142"/>
      <c r="F850" s="143"/>
      <c r="G850" s="150"/>
      <c r="H850" s="150"/>
      <c r="I850" s="143"/>
      <c r="J850" s="143"/>
      <c r="K850" s="143"/>
      <c r="L850" s="143"/>
      <c r="M850" s="143"/>
      <c r="N850" s="143"/>
      <c r="O850" s="143"/>
      <c r="P850" s="143"/>
      <c r="Q850" s="143"/>
      <c r="R850" s="143"/>
      <c r="S850" s="143"/>
      <c r="T850" s="143"/>
      <c r="U850" s="143"/>
      <c r="V850" s="143"/>
      <c r="W850" s="143"/>
      <c r="X850" s="143"/>
      <c r="Y850" s="143"/>
      <c r="Z850" s="143"/>
    </row>
    <row r="851" spans="1:26" ht="18.75">
      <c r="A851" s="143"/>
      <c r="B851" s="140"/>
      <c r="C851" s="141"/>
      <c r="D851" s="142"/>
      <c r="E851" s="142"/>
      <c r="F851" s="143"/>
      <c r="G851" s="152"/>
      <c r="H851" s="152"/>
      <c r="I851" s="143"/>
      <c r="J851" s="143"/>
      <c r="K851" s="143"/>
      <c r="L851" s="143"/>
      <c r="M851" s="143"/>
      <c r="N851" s="143"/>
      <c r="O851" s="143"/>
      <c r="P851" s="143"/>
      <c r="Q851" s="143"/>
      <c r="R851" s="143"/>
      <c r="S851" s="143"/>
      <c r="T851" s="143"/>
      <c r="U851" s="143"/>
      <c r="V851" s="143"/>
      <c r="W851" s="143"/>
      <c r="X851" s="143"/>
      <c r="Y851" s="143"/>
      <c r="Z851" s="143"/>
    </row>
    <row r="852" spans="1:26" ht="18.75">
      <c r="A852" s="143"/>
      <c r="B852" s="140"/>
      <c r="C852" s="141"/>
      <c r="D852" s="142"/>
      <c r="E852" s="142"/>
      <c r="F852" s="143"/>
      <c r="G852" s="150"/>
      <c r="H852" s="150"/>
      <c r="I852" s="143"/>
      <c r="J852" s="143"/>
      <c r="K852" s="143"/>
      <c r="L852" s="143"/>
      <c r="M852" s="143"/>
      <c r="N852" s="143"/>
      <c r="O852" s="143"/>
      <c r="P852" s="143"/>
      <c r="Q852" s="143"/>
      <c r="R852" s="143"/>
      <c r="S852" s="143"/>
      <c r="T852" s="143"/>
      <c r="U852" s="143"/>
      <c r="V852" s="143"/>
      <c r="W852" s="143"/>
      <c r="X852" s="143"/>
      <c r="Y852" s="143"/>
      <c r="Z852" s="143"/>
    </row>
    <row r="853" spans="1:26" ht="18.75">
      <c r="A853" s="143"/>
      <c r="B853" s="140"/>
      <c r="C853" s="141"/>
      <c r="D853" s="142"/>
      <c r="E853" s="142"/>
      <c r="F853" s="143"/>
      <c r="G853" s="152"/>
      <c r="H853" s="152"/>
      <c r="I853" s="143"/>
      <c r="J853" s="143"/>
      <c r="K853" s="143"/>
      <c r="L853" s="143"/>
      <c r="M853" s="143"/>
      <c r="N853" s="143"/>
      <c r="O853" s="143"/>
      <c r="P853" s="143"/>
      <c r="Q853" s="143"/>
      <c r="R853" s="143"/>
      <c r="S853" s="143"/>
      <c r="T853" s="143"/>
      <c r="U853" s="143"/>
      <c r="V853" s="143"/>
      <c r="W853" s="143"/>
      <c r="X853" s="143"/>
      <c r="Y853" s="143"/>
      <c r="Z853" s="143"/>
    </row>
    <row r="854" spans="1:26" ht="18.75">
      <c r="A854" s="143"/>
      <c r="B854" s="140"/>
      <c r="C854" s="141"/>
      <c r="D854" s="142"/>
      <c r="E854" s="142"/>
      <c r="F854" s="143"/>
      <c r="G854" s="150"/>
      <c r="H854" s="150"/>
      <c r="I854" s="143"/>
      <c r="J854" s="143"/>
      <c r="K854" s="143"/>
      <c r="L854" s="143"/>
      <c r="M854" s="143"/>
      <c r="N854" s="143"/>
      <c r="O854" s="143"/>
      <c r="P854" s="143"/>
      <c r="Q854" s="143"/>
      <c r="R854" s="143"/>
      <c r="S854" s="143"/>
      <c r="T854" s="143"/>
      <c r="U854" s="143"/>
      <c r="V854" s="143"/>
      <c r="W854" s="143"/>
      <c r="X854" s="143"/>
      <c r="Y854" s="143"/>
      <c r="Z854" s="143"/>
    </row>
    <row r="855" spans="1:26" ht="18.75">
      <c r="A855" s="143"/>
      <c r="B855" s="140"/>
      <c r="C855" s="141"/>
      <c r="D855" s="142"/>
      <c r="E855" s="142"/>
      <c r="F855" s="143"/>
      <c r="G855" s="152"/>
      <c r="H855" s="152"/>
      <c r="I855" s="143"/>
      <c r="J855" s="143"/>
      <c r="K855" s="143"/>
      <c r="L855" s="143"/>
      <c r="M855" s="143"/>
      <c r="N855" s="143"/>
      <c r="O855" s="143"/>
      <c r="P855" s="143"/>
      <c r="Q855" s="143"/>
      <c r="R855" s="143"/>
      <c r="S855" s="143"/>
      <c r="T855" s="143"/>
      <c r="U855" s="143"/>
      <c r="V855" s="143"/>
      <c r="W855" s="143"/>
      <c r="X855" s="143"/>
      <c r="Y855" s="143"/>
      <c r="Z855" s="143"/>
    </row>
    <row r="856" spans="1:26" ht="18.75">
      <c r="A856" s="143"/>
      <c r="B856" s="140"/>
      <c r="C856" s="141"/>
      <c r="D856" s="142"/>
      <c r="E856" s="142"/>
      <c r="F856" s="143"/>
      <c r="G856" s="150"/>
      <c r="H856" s="150"/>
      <c r="I856" s="143"/>
      <c r="J856" s="143"/>
      <c r="K856" s="143"/>
      <c r="L856" s="143"/>
      <c r="M856" s="143"/>
      <c r="N856" s="143"/>
      <c r="O856" s="143"/>
      <c r="P856" s="143"/>
      <c r="Q856" s="143"/>
      <c r="R856" s="143"/>
      <c r="S856" s="143"/>
      <c r="T856" s="143"/>
      <c r="U856" s="143"/>
      <c r="V856" s="143"/>
      <c r="W856" s="143"/>
      <c r="X856" s="143"/>
      <c r="Y856" s="143"/>
      <c r="Z856" s="143"/>
    </row>
    <row r="857" spans="1:26" ht="18.75">
      <c r="A857" s="143"/>
      <c r="B857" s="140"/>
      <c r="C857" s="141"/>
      <c r="D857" s="142"/>
      <c r="E857" s="142"/>
      <c r="F857" s="143"/>
      <c r="G857" s="152"/>
      <c r="H857" s="152"/>
      <c r="I857" s="143"/>
      <c r="J857" s="143"/>
      <c r="K857" s="143"/>
      <c r="L857" s="143"/>
      <c r="M857" s="143"/>
      <c r="N857" s="143"/>
      <c r="O857" s="143"/>
      <c r="P857" s="143"/>
      <c r="Q857" s="143"/>
      <c r="R857" s="143"/>
      <c r="S857" s="143"/>
      <c r="T857" s="143"/>
      <c r="U857" s="143"/>
      <c r="V857" s="143"/>
      <c r="W857" s="143"/>
      <c r="X857" s="143"/>
      <c r="Y857" s="143"/>
      <c r="Z857" s="143"/>
    </row>
    <row r="858" spans="1:26" ht="18.75">
      <c r="A858" s="143"/>
      <c r="B858" s="140"/>
      <c r="C858" s="141"/>
      <c r="D858" s="142"/>
      <c r="E858" s="142"/>
      <c r="F858" s="143"/>
      <c r="G858" s="150"/>
      <c r="H858" s="150"/>
      <c r="I858" s="143"/>
      <c r="J858" s="143"/>
      <c r="K858" s="143"/>
      <c r="L858" s="143"/>
      <c r="M858" s="143"/>
      <c r="N858" s="143"/>
      <c r="O858" s="143"/>
      <c r="P858" s="143"/>
      <c r="Q858" s="143"/>
      <c r="R858" s="143"/>
      <c r="S858" s="143"/>
      <c r="T858" s="143"/>
      <c r="U858" s="143"/>
      <c r="V858" s="143"/>
      <c r="W858" s="143"/>
      <c r="X858" s="143"/>
      <c r="Y858" s="143"/>
      <c r="Z858" s="143"/>
    </row>
    <row r="859" spans="1:26" ht="18.75">
      <c r="A859" s="143"/>
      <c r="B859" s="140"/>
      <c r="C859" s="141"/>
      <c r="D859" s="142"/>
      <c r="E859" s="142"/>
      <c r="F859" s="143"/>
      <c r="G859" s="152"/>
      <c r="H859" s="152"/>
      <c r="I859" s="143"/>
      <c r="J859" s="143"/>
      <c r="K859" s="143"/>
      <c r="L859" s="143"/>
      <c r="M859" s="143"/>
      <c r="N859" s="143"/>
      <c r="O859" s="143"/>
      <c r="P859" s="143"/>
      <c r="Q859" s="143"/>
      <c r="R859" s="143"/>
      <c r="S859" s="143"/>
      <c r="T859" s="143"/>
      <c r="U859" s="143"/>
      <c r="V859" s="143"/>
      <c r="W859" s="143"/>
      <c r="X859" s="143"/>
      <c r="Y859" s="143"/>
      <c r="Z859" s="143"/>
    </row>
    <row r="860" spans="1:26" ht="18.75">
      <c r="A860" s="143"/>
      <c r="B860" s="140"/>
      <c r="C860" s="141"/>
      <c r="D860" s="142"/>
      <c r="E860" s="142"/>
      <c r="F860" s="143"/>
      <c r="G860" s="150"/>
      <c r="H860" s="150"/>
      <c r="I860" s="143"/>
      <c r="J860" s="143"/>
      <c r="K860" s="143"/>
      <c r="L860" s="143"/>
      <c r="M860" s="143"/>
      <c r="N860" s="143"/>
      <c r="O860" s="143"/>
      <c r="P860" s="143"/>
      <c r="Q860" s="143"/>
      <c r="R860" s="143"/>
      <c r="S860" s="143"/>
      <c r="T860" s="143"/>
      <c r="U860" s="143"/>
      <c r="V860" s="143"/>
      <c r="W860" s="143"/>
      <c r="X860" s="143"/>
      <c r="Y860" s="143"/>
      <c r="Z860" s="143"/>
    </row>
    <row r="861" spans="1:26" ht="18.75">
      <c r="A861" s="143"/>
      <c r="B861" s="140"/>
      <c r="C861" s="141"/>
      <c r="D861" s="142"/>
      <c r="E861" s="142"/>
      <c r="F861" s="143"/>
      <c r="G861" s="152"/>
      <c r="H861" s="152"/>
      <c r="I861" s="143"/>
      <c r="J861" s="143"/>
      <c r="K861" s="143"/>
      <c r="L861" s="143"/>
      <c r="M861" s="143"/>
      <c r="N861" s="143"/>
      <c r="O861" s="143"/>
      <c r="P861" s="143"/>
      <c r="Q861" s="143"/>
      <c r="R861" s="143"/>
      <c r="S861" s="143"/>
      <c r="T861" s="143"/>
      <c r="U861" s="143"/>
      <c r="V861" s="143"/>
      <c r="W861" s="143"/>
      <c r="X861" s="143"/>
      <c r="Y861" s="143"/>
      <c r="Z861" s="143"/>
    </row>
    <row r="862" spans="1:26" ht="18.75">
      <c r="A862" s="143"/>
      <c r="B862" s="140"/>
      <c r="C862" s="141"/>
      <c r="D862" s="142"/>
      <c r="E862" s="142"/>
      <c r="F862" s="143"/>
      <c r="G862" s="150"/>
      <c r="H862" s="150"/>
      <c r="I862" s="143"/>
      <c r="J862" s="143"/>
      <c r="K862" s="143"/>
      <c r="L862" s="143"/>
      <c r="M862" s="143"/>
      <c r="N862" s="143"/>
      <c r="O862" s="143"/>
      <c r="P862" s="143"/>
      <c r="Q862" s="143"/>
      <c r="R862" s="143"/>
      <c r="S862" s="143"/>
      <c r="T862" s="143"/>
      <c r="U862" s="143"/>
      <c r="V862" s="143"/>
      <c r="W862" s="143"/>
      <c r="X862" s="143"/>
      <c r="Y862" s="143"/>
      <c r="Z862" s="143"/>
    </row>
    <row r="863" spans="1:26" ht="18.75">
      <c r="A863" s="143"/>
      <c r="B863" s="140"/>
      <c r="C863" s="141"/>
      <c r="D863" s="142"/>
      <c r="E863" s="142"/>
      <c r="F863" s="143"/>
      <c r="G863" s="152"/>
      <c r="H863" s="152"/>
      <c r="I863" s="143"/>
      <c r="J863" s="143"/>
      <c r="K863" s="143"/>
      <c r="L863" s="143"/>
      <c r="M863" s="143"/>
      <c r="N863" s="143"/>
      <c r="O863" s="143"/>
      <c r="P863" s="143"/>
      <c r="Q863" s="143"/>
      <c r="R863" s="143"/>
      <c r="S863" s="143"/>
      <c r="T863" s="143"/>
      <c r="U863" s="143"/>
      <c r="V863" s="143"/>
      <c r="W863" s="143"/>
      <c r="X863" s="143"/>
      <c r="Y863" s="143"/>
      <c r="Z863" s="143"/>
    </row>
    <row r="864" spans="1:26" ht="18.75">
      <c r="A864" s="143"/>
      <c r="B864" s="140"/>
      <c r="C864" s="141"/>
      <c r="D864" s="142"/>
      <c r="E864" s="142"/>
      <c r="F864" s="143"/>
      <c r="G864" s="150"/>
      <c r="H864" s="150"/>
      <c r="I864" s="143"/>
      <c r="J864" s="143"/>
      <c r="K864" s="143"/>
      <c r="L864" s="143"/>
      <c r="M864" s="143"/>
      <c r="N864" s="143"/>
      <c r="O864" s="143"/>
      <c r="P864" s="143"/>
      <c r="Q864" s="143"/>
      <c r="R864" s="143"/>
      <c r="S864" s="143"/>
      <c r="T864" s="143"/>
      <c r="U864" s="143"/>
      <c r="V864" s="143"/>
      <c r="W864" s="143"/>
      <c r="X864" s="143"/>
      <c r="Y864" s="143"/>
      <c r="Z864" s="143"/>
    </row>
    <row r="865" spans="1:26" ht="18.75">
      <c r="A865" s="143"/>
      <c r="B865" s="140"/>
      <c r="C865" s="141"/>
      <c r="D865" s="142"/>
      <c r="E865" s="142"/>
      <c r="F865" s="143"/>
      <c r="G865" s="152"/>
      <c r="H865" s="152"/>
      <c r="I865" s="143"/>
      <c r="J865" s="143"/>
      <c r="K865" s="143"/>
      <c r="L865" s="143"/>
      <c r="M865" s="143"/>
      <c r="N865" s="143"/>
      <c r="O865" s="143"/>
      <c r="P865" s="143"/>
      <c r="Q865" s="143"/>
      <c r="R865" s="143"/>
      <c r="S865" s="143"/>
      <c r="T865" s="143"/>
      <c r="U865" s="143"/>
      <c r="V865" s="143"/>
      <c r="W865" s="143"/>
      <c r="X865" s="143"/>
      <c r="Y865" s="143"/>
      <c r="Z865" s="143"/>
    </row>
    <row r="866" spans="1:26" ht="18.75">
      <c r="A866" s="143"/>
      <c r="B866" s="140"/>
      <c r="C866" s="141"/>
      <c r="D866" s="142"/>
      <c r="E866" s="142"/>
      <c r="F866" s="143"/>
      <c r="G866" s="150"/>
      <c r="H866" s="150"/>
      <c r="I866" s="143"/>
      <c r="J866" s="143"/>
      <c r="K866" s="143"/>
      <c r="L866" s="143"/>
      <c r="M866" s="143"/>
      <c r="N866" s="143"/>
      <c r="O866" s="143"/>
      <c r="P866" s="143"/>
      <c r="Q866" s="143"/>
      <c r="R866" s="143"/>
      <c r="S866" s="143"/>
      <c r="T866" s="143"/>
      <c r="U866" s="143"/>
      <c r="V866" s="143"/>
      <c r="W866" s="143"/>
      <c r="X866" s="143"/>
      <c r="Y866" s="143"/>
      <c r="Z866" s="143"/>
    </row>
    <row r="867" spans="1:26" ht="18.75">
      <c r="A867" s="143"/>
      <c r="B867" s="140"/>
      <c r="C867" s="141"/>
      <c r="D867" s="142"/>
      <c r="E867" s="142"/>
      <c r="F867" s="143"/>
      <c r="G867" s="152"/>
      <c r="H867" s="152"/>
      <c r="I867" s="143"/>
      <c r="J867" s="143"/>
      <c r="K867" s="143"/>
      <c r="L867" s="143"/>
      <c r="M867" s="143"/>
      <c r="N867" s="143"/>
      <c r="O867" s="143"/>
      <c r="P867" s="143"/>
      <c r="Q867" s="143"/>
      <c r="R867" s="143"/>
      <c r="S867" s="143"/>
      <c r="T867" s="143"/>
      <c r="U867" s="143"/>
      <c r="V867" s="143"/>
      <c r="W867" s="143"/>
      <c r="X867" s="143"/>
      <c r="Y867" s="143"/>
      <c r="Z867" s="143"/>
    </row>
    <row r="868" spans="1:26" ht="18.75">
      <c r="A868" s="143"/>
      <c r="B868" s="140"/>
      <c r="C868" s="141"/>
      <c r="D868" s="142"/>
      <c r="E868" s="142"/>
      <c r="F868" s="143"/>
      <c r="G868" s="150"/>
      <c r="H868" s="150"/>
      <c r="I868" s="143"/>
      <c r="J868" s="143"/>
      <c r="K868" s="143"/>
      <c r="L868" s="143"/>
      <c r="M868" s="143"/>
      <c r="N868" s="143"/>
      <c r="O868" s="143"/>
      <c r="P868" s="143"/>
      <c r="Q868" s="143"/>
      <c r="R868" s="143"/>
      <c r="S868" s="143"/>
      <c r="T868" s="143"/>
      <c r="U868" s="143"/>
      <c r="V868" s="143"/>
      <c r="W868" s="143"/>
      <c r="X868" s="143"/>
      <c r="Y868" s="143"/>
      <c r="Z868" s="143"/>
    </row>
    <row r="869" spans="1:26" ht="18.75">
      <c r="A869" s="143"/>
      <c r="B869" s="140"/>
      <c r="C869" s="141"/>
      <c r="D869" s="142"/>
      <c r="E869" s="142"/>
      <c r="F869" s="143"/>
      <c r="G869" s="152"/>
      <c r="H869" s="152"/>
      <c r="I869" s="143"/>
      <c r="J869" s="143"/>
      <c r="K869" s="143"/>
      <c r="L869" s="143"/>
      <c r="M869" s="143"/>
      <c r="N869" s="143"/>
      <c r="O869" s="143"/>
      <c r="P869" s="143"/>
      <c r="Q869" s="143"/>
      <c r="R869" s="143"/>
      <c r="S869" s="143"/>
      <c r="T869" s="143"/>
      <c r="U869" s="143"/>
      <c r="V869" s="143"/>
      <c r="W869" s="143"/>
      <c r="X869" s="143"/>
      <c r="Y869" s="143"/>
      <c r="Z869" s="143"/>
    </row>
    <row r="870" spans="1:26" ht="18.75">
      <c r="A870" s="143"/>
      <c r="B870" s="140"/>
      <c r="C870" s="141"/>
      <c r="D870" s="142"/>
      <c r="E870" s="142"/>
      <c r="F870" s="143"/>
      <c r="G870" s="150"/>
      <c r="H870" s="150"/>
      <c r="I870" s="143"/>
      <c r="J870" s="143"/>
      <c r="K870" s="143"/>
      <c r="L870" s="143"/>
      <c r="M870" s="143"/>
      <c r="N870" s="143"/>
      <c r="O870" s="143"/>
      <c r="P870" s="143"/>
      <c r="Q870" s="143"/>
      <c r="R870" s="143"/>
      <c r="S870" s="143"/>
      <c r="T870" s="143"/>
      <c r="U870" s="143"/>
      <c r="V870" s="143"/>
      <c r="W870" s="143"/>
      <c r="X870" s="143"/>
      <c r="Y870" s="143"/>
      <c r="Z870" s="143"/>
    </row>
    <row r="871" spans="1:26" ht="18.75">
      <c r="A871" s="143"/>
      <c r="B871" s="140"/>
      <c r="C871" s="141"/>
      <c r="D871" s="142"/>
      <c r="E871" s="142"/>
      <c r="F871" s="143"/>
      <c r="G871" s="152"/>
      <c r="H871" s="152"/>
      <c r="I871" s="143"/>
      <c r="J871" s="143"/>
      <c r="K871" s="143"/>
      <c r="L871" s="143"/>
      <c r="M871" s="143"/>
      <c r="N871" s="143"/>
      <c r="O871" s="143"/>
      <c r="P871" s="143"/>
      <c r="Q871" s="143"/>
      <c r="R871" s="143"/>
      <c r="S871" s="143"/>
      <c r="T871" s="143"/>
      <c r="U871" s="143"/>
      <c r="V871" s="143"/>
      <c r="W871" s="143"/>
      <c r="X871" s="143"/>
      <c r="Y871" s="143"/>
      <c r="Z871" s="143"/>
    </row>
    <row r="872" spans="1:26" ht="18.75">
      <c r="A872" s="143"/>
      <c r="B872" s="140"/>
      <c r="C872" s="141"/>
      <c r="D872" s="142"/>
      <c r="E872" s="142"/>
      <c r="F872" s="143"/>
      <c r="G872" s="150"/>
      <c r="H872" s="150"/>
      <c r="I872" s="143"/>
      <c r="J872" s="143"/>
      <c r="K872" s="143"/>
      <c r="L872" s="143"/>
      <c r="M872" s="143"/>
      <c r="N872" s="143"/>
      <c r="O872" s="143"/>
      <c r="P872" s="143"/>
      <c r="Q872" s="143"/>
      <c r="R872" s="143"/>
      <c r="S872" s="143"/>
      <c r="T872" s="143"/>
      <c r="U872" s="143"/>
      <c r="V872" s="143"/>
      <c r="W872" s="143"/>
      <c r="X872" s="143"/>
      <c r="Y872" s="143"/>
      <c r="Z872" s="143"/>
    </row>
    <row r="873" spans="1:26" ht="18.75">
      <c r="A873" s="143"/>
      <c r="B873" s="140"/>
      <c r="C873" s="141"/>
      <c r="D873" s="142"/>
      <c r="E873" s="142"/>
      <c r="F873" s="143"/>
      <c r="G873" s="152"/>
      <c r="H873" s="152"/>
      <c r="I873" s="143"/>
      <c r="J873" s="143"/>
      <c r="K873" s="143"/>
      <c r="L873" s="143"/>
      <c r="M873" s="143"/>
      <c r="N873" s="143"/>
      <c r="O873" s="143"/>
      <c r="P873" s="143"/>
      <c r="Q873" s="143"/>
      <c r="R873" s="143"/>
      <c r="S873" s="143"/>
      <c r="T873" s="143"/>
      <c r="U873" s="143"/>
      <c r="V873" s="143"/>
      <c r="W873" s="143"/>
      <c r="X873" s="143"/>
      <c r="Y873" s="143"/>
      <c r="Z873" s="143"/>
    </row>
    <row r="874" spans="1:26" ht="18.75">
      <c r="A874" s="143"/>
      <c r="B874" s="140"/>
      <c r="C874" s="141"/>
      <c r="D874" s="142"/>
      <c r="E874" s="142"/>
      <c r="F874" s="143"/>
      <c r="G874" s="150"/>
      <c r="H874" s="150"/>
      <c r="I874" s="143"/>
      <c r="J874" s="143"/>
      <c r="K874" s="143"/>
      <c r="L874" s="143"/>
      <c r="M874" s="143"/>
      <c r="N874" s="143"/>
      <c r="O874" s="143"/>
      <c r="P874" s="143"/>
      <c r="Q874" s="143"/>
      <c r="R874" s="143"/>
      <c r="S874" s="143"/>
      <c r="T874" s="143"/>
      <c r="U874" s="143"/>
      <c r="V874" s="143"/>
      <c r="W874" s="143"/>
      <c r="X874" s="143"/>
      <c r="Y874" s="143"/>
      <c r="Z874" s="143"/>
    </row>
    <row r="875" spans="1:26" ht="18.75">
      <c r="A875" s="143"/>
      <c r="B875" s="140"/>
      <c r="C875" s="141"/>
      <c r="D875" s="142"/>
      <c r="E875" s="142"/>
      <c r="F875" s="143"/>
      <c r="G875" s="152"/>
      <c r="H875" s="152"/>
      <c r="I875" s="143"/>
      <c r="J875" s="143"/>
      <c r="K875" s="143"/>
      <c r="L875" s="143"/>
      <c r="M875" s="143"/>
      <c r="N875" s="143"/>
      <c r="O875" s="143"/>
      <c r="P875" s="143"/>
      <c r="Q875" s="143"/>
      <c r="R875" s="143"/>
      <c r="S875" s="143"/>
      <c r="T875" s="143"/>
      <c r="U875" s="143"/>
      <c r="V875" s="143"/>
      <c r="W875" s="143"/>
      <c r="X875" s="143"/>
      <c r="Y875" s="143"/>
      <c r="Z875" s="143"/>
    </row>
    <row r="876" spans="1:26" ht="18.75">
      <c r="A876" s="143"/>
      <c r="B876" s="140"/>
      <c r="C876" s="141"/>
      <c r="D876" s="142"/>
      <c r="E876" s="142"/>
      <c r="F876" s="143"/>
      <c r="G876" s="150"/>
      <c r="H876" s="150"/>
      <c r="I876" s="143"/>
      <c r="J876" s="143"/>
      <c r="K876" s="143"/>
      <c r="L876" s="143"/>
      <c r="M876" s="143"/>
      <c r="N876" s="143"/>
      <c r="O876" s="143"/>
      <c r="P876" s="143"/>
      <c r="Q876" s="143"/>
      <c r="R876" s="143"/>
      <c r="S876" s="143"/>
      <c r="T876" s="143"/>
      <c r="U876" s="143"/>
      <c r="V876" s="143"/>
      <c r="W876" s="143"/>
      <c r="X876" s="143"/>
      <c r="Y876" s="143"/>
      <c r="Z876" s="143"/>
    </row>
    <row r="877" spans="1:26" ht="18.75">
      <c r="A877" s="143"/>
      <c r="B877" s="140"/>
      <c r="C877" s="141"/>
      <c r="D877" s="142"/>
      <c r="E877" s="142"/>
      <c r="F877" s="143"/>
      <c r="G877" s="152"/>
      <c r="H877" s="152"/>
      <c r="I877" s="143"/>
      <c r="J877" s="143"/>
      <c r="K877" s="143"/>
      <c r="L877" s="143"/>
      <c r="M877" s="143"/>
      <c r="N877" s="143"/>
      <c r="O877" s="143"/>
      <c r="P877" s="143"/>
      <c r="Q877" s="143"/>
      <c r="R877" s="143"/>
      <c r="S877" s="143"/>
      <c r="T877" s="143"/>
      <c r="U877" s="143"/>
      <c r="V877" s="143"/>
      <c r="W877" s="143"/>
      <c r="X877" s="143"/>
      <c r="Y877" s="143"/>
      <c r="Z877" s="143"/>
    </row>
    <row r="878" spans="1:26" ht="18.75">
      <c r="A878" s="143"/>
      <c r="B878" s="140"/>
      <c r="C878" s="141"/>
      <c r="D878" s="142"/>
      <c r="E878" s="142"/>
      <c r="F878" s="143"/>
      <c r="G878" s="150"/>
      <c r="H878" s="150"/>
      <c r="I878" s="143"/>
      <c r="J878" s="143"/>
      <c r="K878" s="143"/>
      <c r="L878" s="143"/>
      <c r="M878" s="143"/>
      <c r="N878" s="143"/>
      <c r="O878" s="143"/>
      <c r="P878" s="143"/>
      <c r="Q878" s="143"/>
      <c r="R878" s="143"/>
      <c r="S878" s="143"/>
      <c r="T878" s="143"/>
      <c r="U878" s="143"/>
      <c r="V878" s="143"/>
      <c r="W878" s="143"/>
      <c r="X878" s="143"/>
      <c r="Y878" s="143"/>
      <c r="Z878" s="143"/>
    </row>
    <row r="879" spans="1:26" ht="18.75">
      <c r="A879" s="143"/>
      <c r="B879" s="140"/>
      <c r="C879" s="141"/>
      <c r="D879" s="142"/>
      <c r="E879" s="142"/>
      <c r="F879" s="143"/>
      <c r="G879" s="152"/>
      <c r="H879" s="152"/>
      <c r="I879" s="143"/>
      <c r="J879" s="143"/>
      <c r="K879" s="143"/>
      <c r="L879" s="143"/>
      <c r="M879" s="143"/>
      <c r="N879" s="143"/>
      <c r="O879" s="143"/>
      <c r="P879" s="143"/>
      <c r="Q879" s="143"/>
      <c r="R879" s="143"/>
      <c r="S879" s="143"/>
      <c r="T879" s="143"/>
      <c r="U879" s="143"/>
      <c r="V879" s="143"/>
      <c r="W879" s="143"/>
      <c r="X879" s="143"/>
      <c r="Y879" s="143"/>
      <c r="Z879" s="143"/>
    </row>
    <row r="880" spans="1:26" ht="18.75">
      <c r="A880" s="143"/>
      <c r="B880" s="140"/>
      <c r="C880" s="141"/>
      <c r="D880" s="142"/>
      <c r="E880" s="142"/>
      <c r="F880" s="143"/>
      <c r="G880" s="150"/>
      <c r="H880" s="150"/>
      <c r="I880" s="143"/>
      <c r="J880" s="143"/>
      <c r="K880" s="143"/>
      <c r="L880" s="143"/>
      <c r="M880" s="143"/>
      <c r="N880" s="143"/>
      <c r="O880" s="143"/>
      <c r="P880" s="143"/>
      <c r="Q880" s="143"/>
      <c r="R880" s="143"/>
      <c r="S880" s="143"/>
      <c r="T880" s="143"/>
      <c r="U880" s="143"/>
      <c r="V880" s="143"/>
      <c r="W880" s="143"/>
      <c r="X880" s="143"/>
      <c r="Y880" s="143"/>
      <c r="Z880" s="143"/>
    </row>
    <row r="881" spans="1:26" ht="18.75">
      <c r="A881" s="143"/>
      <c r="B881" s="140"/>
      <c r="C881" s="141"/>
      <c r="D881" s="142"/>
      <c r="E881" s="142"/>
      <c r="F881" s="143"/>
      <c r="G881" s="152"/>
      <c r="H881" s="152"/>
      <c r="I881" s="143"/>
      <c r="J881" s="143"/>
      <c r="K881" s="143"/>
      <c r="L881" s="143"/>
      <c r="M881" s="143"/>
      <c r="N881" s="143"/>
      <c r="O881" s="143"/>
      <c r="P881" s="143"/>
      <c r="Q881" s="143"/>
      <c r="R881" s="143"/>
      <c r="S881" s="143"/>
      <c r="T881" s="143"/>
      <c r="U881" s="143"/>
      <c r="V881" s="143"/>
      <c r="W881" s="143"/>
      <c r="X881" s="143"/>
      <c r="Y881" s="143"/>
      <c r="Z881" s="143"/>
    </row>
    <row r="882" spans="1:26" ht="18.75">
      <c r="A882" s="143"/>
      <c r="B882" s="140"/>
      <c r="C882" s="141"/>
      <c r="D882" s="142"/>
      <c r="E882" s="142"/>
      <c r="F882" s="143"/>
      <c r="G882" s="150"/>
      <c r="H882" s="150"/>
      <c r="I882" s="143"/>
      <c r="J882" s="143"/>
      <c r="K882" s="143"/>
      <c r="L882" s="143"/>
      <c r="M882" s="143"/>
      <c r="N882" s="143"/>
      <c r="O882" s="143"/>
      <c r="P882" s="143"/>
      <c r="Q882" s="143"/>
      <c r="R882" s="143"/>
      <c r="S882" s="143"/>
      <c r="T882" s="143"/>
      <c r="U882" s="143"/>
      <c r="V882" s="143"/>
      <c r="W882" s="143"/>
      <c r="X882" s="143"/>
      <c r="Y882" s="143"/>
      <c r="Z882" s="143"/>
    </row>
    <row r="883" spans="1:26" ht="18.75">
      <c r="A883" s="143"/>
      <c r="B883" s="140"/>
      <c r="C883" s="141"/>
      <c r="D883" s="142"/>
      <c r="E883" s="142"/>
      <c r="F883" s="143"/>
      <c r="G883" s="152"/>
      <c r="H883" s="152"/>
      <c r="I883" s="143"/>
      <c r="J883" s="143"/>
      <c r="K883" s="143"/>
      <c r="L883" s="143"/>
      <c r="M883" s="143"/>
      <c r="N883" s="143"/>
      <c r="O883" s="143"/>
      <c r="P883" s="143"/>
      <c r="Q883" s="143"/>
      <c r="R883" s="143"/>
      <c r="S883" s="143"/>
      <c r="T883" s="143"/>
      <c r="U883" s="143"/>
      <c r="V883" s="143"/>
      <c r="W883" s="143"/>
      <c r="X883" s="143"/>
      <c r="Y883" s="143"/>
      <c r="Z883" s="143"/>
    </row>
    <row r="884" spans="1:26" ht="18.75">
      <c r="A884" s="143"/>
      <c r="B884" s="140"/>
      <c r="C884" s="141"/>
      <c r="D884" s="142"/>
      <c r="E884" s="142"/>
      <c r="F884" s="143"/>
      <c r="G884" s="150"/>
      <c r="H884" s="150"/>
      <c r="I884" s="143"/>
      <c r="J884" s="143"/>
      <c r="K884" s="143"/>
      <c r="L884" s="143"/>
      <c r="M884" s="143"/>
      <c r="N884" s="143"/>
      <c r="O884" s="143"/>
      <c r="P884" s="143"/>
      <c r="Q884" s="143"/>
      <c r="R884" s="143"/>
      <c r="S884" s="143"/>
      <c r="T884" s="143"/>
      <c r="U884" s="143"/>
      <c r="V884" s="143"/>
      <c r="W884" s="143"/>
      <c r="X884" s="143"/>
      <c r="Y884" s="143"/>
      <c r="Z884" s="143"/>
    </row>
    <row r="885" spans="1:26" ht="18.75">
      <c r="A885" s="143"/>
      <c r="B885" s="140"/>
      <c r="C885" s="141"/>
      <c r="D885" s="142"/>
      <c r="E885" s="142"/>
      <c r="F885" s="143"/>
      <c r="G885" s="152"/>
      <c r="H885" s="152"/>
      <c r="I885" s="143"/>
      <c r="J885" s="143"/>
      <c r="K885" s="143"/>
      <c r="L885" s="143"/>
      <c r="M885" s="143"/>
      <c r="N885" s="143"/>
      <c r="O885" s="143"/>
      <c r="P885" s="143"/>
      <c r="Q885" s="143"/>
      <c r="R885" s="143"/>
      <c r="S885" s="143"/>
      <c r="T885" s="143"/>
      <c r="U885" s="143"/>
      <c r="V885" s="143"/>
      <c r="W885" s="143"/>
      <c r="X885" s="143"/>
      <c r="Y885" s="143"/>
      <c r="Z885" s="143"/>
    </row>
    <row r="886" spans="1:26" ht="18.75">
      <c r="A886" s="143"/>
      <c r="B886" s="140"/>
      <c r="C886" s="141"/>
      <c r="D886" s="142"/>
      <c r="E886" s="142"/>
      <c r="F886" s="143"/>
      <c r="G886" s="150"/>
      <c r="H886" s="150"/>
      <c r="I886" s="143"/>
      <c r="J886" s="143"/>
      <c r="K886" s="143"/>
      <c r="L886" s="143"/>
      <c r="M886" s="143"/>
      <c r="N886" s="143"/>
      <c r="O886" s="143"/>
      <c r="P886" s="143"/>
      <c r="Q886" s="143"/>
      <c r="R886" s="143"/>
      <c r="S886" s="143"/>
      <c r="T886" s="143"/>
      <c r="U886" s="143"/>
      <c r="V886" s="143"/>
      <c r="W886" s="143"/>
      <c r="X886" s="143"/>
      <c r="Y886" s="143"/>
      <c r="Z886" s="143"/>
    </row>
    <row r="887" spans="1:26" ht="18.75">
      <c r="A887" s="143"/>
      <c r="B887" s="140"/>
      <c r="C887" s="141"/>
      <c r="D887" s="142"/>
      <c r="E887" s="142"/>
      <c r="F887" s="143"/>
      <c r="G887" s="152"/>
      <c r="H887" s="152"/>
      <c r="I887" s="143"/>
      <c r="J887" s="143"/>
      <c r="K887" s="143"/>
      <c r="L887" s="143"/>
      <c r="M887" s="143"/>
      <c r="N887" s="143"/>
      <c r="O887" s="143"/>
      <c r="P887" s="143"/>
      <c r="Q887" s="143"/>
      <c r="R887" s="143"/>
      <c r="S887" s="143"/>
      <c r="T887" s="143"/>
      <c r="U887" s="143"/>
      <c r="V887" s="143"/>
      <c r="W887" s="143"/>
      <c r="X887" s="143"/>
      <c r="Y887" s="143"/>
      <c r="Z887" s="143"/>
    </row>
    <row r="888" spans="1:26" ht="18.75">
      <c r="A888" s="143"/>
      <c r="B888" s="140"/>
      <c r="C888" s="141"/>
      <c r="D888" s="142"/>
      <c r="E888" s="142"/>
      <c r="F888" s="143"/>
      <c r="G888" s="150"/>
      <c r="H888" s="150"/>
      <c r="I888" s="143"/>
      <c r="J888" s="143"/>
      <c r="K888" s="143"/>
      <c r="L888" s="143"/>
      <c r="M888" s="143"/>
      <c r="N888" s="143"/>
      <c r="O888" s="143"/>
      <c r="P888" s="143"/>
      <c r="Q888" s="143"/>
      <c r="R888" s="143"/>
      <c r="S888" s="143"/>
      <c r="T888" s="143"/>
      <c r="U888" s="143"/>
      <c r="V888" s="143"/>
      <c r="W888" s="143"/>
      <c r="X888" s="143"/>
      <c r="Y888" s="143"/>
      <c r="Z888" s="143"/>
    </row>
    <row r="889" spans="1:26" ht="18.75">
      <c r="A889" s="143"/>
      <c r="B889" s="140"/>
      <c r="C889" s="141"/>
      <c r="D889" s="142"/>
      <c r="E889" s="142"/>
      <c r="F889" s="143"/>
      <c r="G889" s="152"/>
      <c r="H889" s="152"/>
      <c r="I889" s="143"/>
      <c r="J889" s="143"/>
      <c r="K889" s="143"/>
      <c r="L889" s="143"/>
      <c r="M889" s="143"/>
      <c r="N889" s="143"/>
      <c r="O889" s="143"/>
      <c r="P889" s="143"/>
      <c r="Q889" s="143"/>
      <c r="R889" s="143"/>
      <c r="S889" s="143"/>
      <c r="T889" s="143"/>
      <c r="U889" s="143"/>
      <c r="V889" s="143"/>
      <c r="W889" s="143"/>
      <c r="X889" s="143"/>
      <c r="Y889" s="143"/>
      <c r="Z889" s="143"/>
    </row>
    <row r="890" spans="1:26" ht="18.75">
      <c r="A890" s="143"/>
      <c r="B890" s="140"/>
      <c r="C890" s="141"/>
      <c r="D890" s="142"/>
      <c r="E890" s="142"/>
      <c r="F890" s="143"/>
      <c r="G890" s="150"/>
      <c r="H890" s="150"/>
      <c r="I890" s="143"/>
      <c r="J890" s="143"/>
      <c r="K890" s="143"/>
      <c r="L890" s="143"/>
      <c r="M890" s="143"/>
      <c r="N890" s="143"/>
      <c r="O890" s="143"/>
      <c r="P890" s="143"/>
      <c r="Q890" s="143"/>
      <c r="R890" s="143"/>
      <c r="S890" s="143"/>
      <c r="T890" s="143"/>
      <c r="U890" s="143"/>
      <c r="V890" s="143"/>
      <c r="W890" s="143"/>
      <c r="X890" s="143"/>
      <c r="Y890" s="143"/>
      <c r="Z890" s="143"/>
    </row>
    <row r="891" spans="1:26" ht="18.75">
      <c r="A891" s="143"/>
      <c r="B891" s="140"/>
      <c r="C891" s="141"/>
      <c r="D891" s="142"/>
      <c r="E891" s="142"/>
      <c r="F891" s="143"/>
      <c r="G891" s="152"/>
      <c r="H891" s="152"/>
      <c r="I891" s="143"/>
      <c r="J891" s="143"/>
      <c r="K891" s="143"/>
      <c r="L891" s="143"/>
      <c r="M891" s="143"/>
      <c r="N891" s="143"/>
      <c r="O891" s="143"/>
      <c r="P891" s="143"/>
      <c r="Q891" s="143"/>
      <c r="R891" s="143"/>
      <c r="S891" s="143"/>
      <c r="T891" s="143"/>
      <c r="U891" s="143"/>
      <c r="V891" s="143"/>
      <c r="W891" s="143"/>
      <c r="X891" s="143"/>
      <c r="Y891" s="143"/>
      <c r="Z891" s="143"/>
    </row>
    <row r="892" spans="1:26" ht="18.75">
      <c r="A892" s="143"/>
      <c r="B892" s="140"/>
      <c r="C892" s="141"/>
      <c r="D892" s="142"/>
      <c r="E892" s="142"/>
      <c r="F892" s="143"/>
      <c r="G892" s="150"/>
      <c r="H892" s="150"/>
      <c r="I892" s="143"/>
      <c r="J892" s="143"/>
      <c r="K892" s="143"/>
      <c r="L892" s="143"/>
      <c r="M892" s="143"/>
      <c r="N892" s="143"/>
      <c r="O892" s="143"/>
      <c r="P892" s="143"/>
      <c r="Q892" s="143"/>
      <c r="R892" s="143"/>
      <c r="S892" s="143"/>
      <c r="T892" s="143"/>
      <c r="U892" s="143"/>
      <c r="V892" s="143"/>
      <c r="W892" s="143"/>
      <c r="X892" s="143"/>
      <c r="Y892" s="143"/>
      <c r="Z892" s="143"/>
    </row>
    <row r="893" spans="1:26" ht="18.75">
      <c r="A893" s="143"/>
      <c r="B893" s="140"/>
      <c r="C893" s="141"/>
      <c r="D893" s="142"/>
      <c r="E893" s="142"/>
      <c r="F893" s="143"/>
      <c r="G893" s="152"/>
      <c r="H893" s="152"/>
      <c r="I893" s="143"/>
      <c r="J893" s="143"/>
      <c r="K893" s="143"/>
      <c r="L893" s="143"/>
      <c r="M893" s="143"/>
      <c r="N893" s="143"/>
      <c r="O893" s="143"/>
      <c r="P893" s="143"/>
      <c r="Q893" s="143"/>
      <c r="R893" s="143"/>
      <c r="S893" s="143"/>
      <c r="T893" s="143"/>
      <c r="U893" s="143"/>
      <c r="V893" s="143"/>
      <c r="W893" s="143"/>
      <c r="X893" s="143"/>
      <c r="Y893" s="143"/>
      <c r="Z893" s="143"/>
    </row>
    <row r="894" spans="1:26" ht="18.75">
      <c r="A894" s="143"/>
      <c r="B894" s="140"/>
      <c r="C894" s="141"/>
      <c r="D894" s="142"/>
      <c r="E894" s="142"/>
      <c r="F894" s="143"/>
      <c r="G894" s="150"/>
      <c r="H894" s="150"/>
      <c r="I894" s="143"/>
      <c r="J894" s="143"/>
      <c r="K894" s="143"/>
      <c r="L894" s="143"/>
      <c r="M894" s="143"/>
      <c r="N894" s="143"/>
      <c r="O894" s="143"/>
      <c r="P894" s="143"/>
      <c r="Q894" s="143"/>
      <c r="R894" s="143"/>
      <c r="S894" s="143"/>
      <c r="T894" s="143"/>
      <c r="U894" s="143"/>
      <c r="V894" s="143"/>
      <c r="W894" s="143"/>
      <c r="X894" s="143"/>
      <c r="Y894" s="143"/>
      <c r="Z894" s="143"/>
    </row>
    <row r="895" spans="1:26" ht="18.75">
      <c r="A895" s="143"/>
      <c r="B895" s="140"/>
      <c r="C895" s="141"/>
      <c r="D895" s="142"/>
      <c r="E895" s="142"/>
      <c r="F895" s="143"/>
      <c r="G895" s="152"/>
      <c r="H895" s="152"/>
      <c r="I895" s="143"/>
      <c r="J895" s="143"/>
      <c r="K895" s="143"/>
      <c r="L895" s="143"/>
      <c r="M895" s="143"/>
      <c r="N895" s="143"/>
      <c r="O895" s="143"/>
      <c r="P895" s="143"/>
      <c r="Q895" s="143"/>
      <c r="R895" s="143"/>
      <c r="S895" s="143"/>
      <c r="T895" s="143"/>
      <c r="U895" s="143"/>
      <c r="V895" s="143"/>
      <c r="W895" s="143"/>
      <c r="X895" s="143"/>
      <c r="Y895" s="143"/>
      <c r="Z895" s="143"/>
    </row>
    <row r="896" spans="1:26" ht="18.75">
      <c r="A896" s="143"/>
      <c r="B896" s="140"/>
      <c r="C896" s="141"/>
      <c r="D896" s="142"/>
      <c r="E896" s="142"/>
      <c r="F896" s="143"/>
      <c r="G896" s="150"/>
      <c r="H896" s="150"/>
      <c r="I896" s="143"/>
      <c r="J896" s="143"/>
      <c r="K896" s="143"/>
      <c r="L896" s="143"/>
      <c r="M896" s="143"/>
      <c r="N896" s="143"/>
      <c r="O896" s="143"/>
      <c r="P896" s="143"/>
      <c r="Q896" s="143"/>
      <c r="R896" s="143"/>
      <c r="S896" s="143"/>
      <c r="T896" s="143"/>
      <c r="U896" s="143"/>
      <c r="V896" s="143"/>
      <c r="W896" s="143"/>
      <c r="X896" s="143"/>
      <c r="Y896" s="143"/>
      <c r="Z896" s="143"/>
    </row>
    <row r="897" spans="1:26" ht="18.75">
      <c r="A897" s="143"/>
      <c r="B897" s="140"/>
      <c r="C897" s="141"/>
      <c r="D897" s="142"/>
      <c r="E897" s="142"/>
      <c r="F897" s="143"/>
      <c r="G897" s="152"/>
      <c r="H897" s="152"/>
      <c r="I897" s="143"/>
      <c r="J897" s="143"/>
      <c r="K897" s="143"/>
      <c r="L897" s="143"/>
      <c r="M897" s="143"/>
      <c r="N897" s="143"/>
      <c r="O897" s="143"/>
      <c r="P897" s="143"/>
      <c r="Q897" s="143"/>
      <c r="R897" s="143"/>
      <c r="S897" s="143"/>
      <c r="T897" s="143"/>
      <c r="U897" s="143"/>
      <c r="V897" s="143"/>
      <c r="W897" s="143"/>
      <c r="X897" s="143"/>
      <c r="Y897" s="143"/>
      <c r="Z897" s="143"/>
    </row>
    <row r="898" spans="1:26" ht="18.75">
      <c r="A898" s="143"/>
      <c r="B898" s="140"/>
      <c r="C898" s="141"/>
      <c r="D898" s="142"/>
      <c r="E898" s="142"/>
      <c r="F898" s="143"/>
      <c r="G898" s="150"/>
      <c r="H898" s="150"/>
      <c r="I898" s="143"/>
      <c r="J898" s="143"/>
      <c r="K898" s="143"/>
      <c r="L898" s="143"/>
      <c r="M898" s="143"/>
      <c r="N898" s="143"/>
      <c r="O898" s="143"/>
      <c r="P898" s="143"/>
      <c r="Q898" s="143"/>
      <c r="R898" s="143"/>
      <c r="S898" s="143"/>
      <c r="T898" s="143"/>
      <c r="U898" s="143"/>
      <c r="V898" s="143"/>
      <c r="W898" s="143"/>
      <c r="X898" s="143"/>
      <c r="Y898" s="143"/>
      <c r="Z898" s="143"/>
    </row>
    <row r="899" spans="1:26" ht="18.75">
      <c r="A899" s="143"/>
      <c r="B899" s="140"/>
      <c r="C899" s="141"/>
      <c r="D899" s="142"/>
      <c r="E899" s="142"/>
      <c r="F899" s="143"/>
      <c r="G899" s="152"/>
      <c r="H899" s="152"/>
      <c r="I899" s="143"/>
      <c r="J899" s="143"/>
      <c r="K899" s="143"/>
      <c r="L899" s="143"/>
      <c r="M899" s="143"/>
      <c r="N899" s="143"/>
      <c r="O899" s="143"/>
      <c r="P899" s="143"/>
      <c r="Q899" s="143"/>
      <c r="R899" s="143"/>
      <c r="S899" s="143"/>
      <c r="T899" s="143"/>
      <c r="U899" s="143"/>
      <c r="V899" s="143"/>
      <c r="W899" s="143"/>
      <c r="X899" s="143"/>
      <c r="Y899" s="143"/>
      <c r="Z899" s="143"/>
    </row>
    <row r="900" spans="1:26" ht="18.75">
      <c r="A900" s="143"/>
      <c r="B900" s="140"/>
      <c r="C900" s="141"/>
      <c r="D900" s="142"/>
      <c r="E900" s="142"/>
      <c r="F900" s="143"/>
      <c r="G900" s="150"/>
      <c r="H900" s="150"/>
      <c r="I900" s="143"/>
      <c r="J900" s="143"/>
      <c r="K900" s="143"/>
      <c r="L900" s="143"/>
      <c r="M900" s="143"/>
      <c r="N900" s="143"/>
      <c r="O900" s="143"/>
      <c r="P900" s="143"/>
      <c r="Q900" s="143"/>
      <c r="R900" s="143"/>
      <c r="S900" s="143"/>
      <c r="T900" s="143"/>
      <c r="U900" s="143"/>
      <c r="V900" s="143"/>
      <c r="W900" s="143"/>
      <c r="X900" s="143"/>
      <c r="Y900" s="143"/>
      <c r="Z900" s="143"/>
    </row>
    <row r="901" spans="1:26" ht="18.75">
      <c r="A901" s="143"/>
      <c r="B901" s="140"/>
      <c r="C901" s="141"/>
      <c r="D901" s="142"/>
      <c r="E901" s="142"/>
      <c r="F901" s="143"/>
      <c r="G901" s="152"/>
      <c r="H901" s="152"/>
      <c r="I901" s="143"/>
      <c r="J901" s="143"/>
      <c r="K901" s="143"/>
      <c r="L901" s="143"/>
      <c r="M901" s="143"/>
      <c r="N901" s="143"/>
      <c r="O901" s="143"/>
      <c r="P901" s="143"/>
      <c r="Q901" s="143"/>
      <c r="R901" s="143"/>
      <c r="S901" s="143"/>
      <c r="T901" s="143"/>
      <c r="U901" s="143"/>
      <c r="V901" s="143"/>
      <c r="W901" s="143"/>
      <c r="X901" s="143"/>
      <c r="Y901" s="143"/>
      <c r="Z901" s="143"/>
    </row>
    <row r="902" spans="1:26" ht="18.75">
      <c r="A902" s="143"/>
      <c r="B902" s="140"/>
      <c r="C902" s="141"/>
      <c r="D902" s="142"/>
      <c r="E902" s="142"/>
      <c r="F902" s="143"/>
      <c r="G902" s="150"/>
      <c r="H902" s="150"/>
      <c r="I902" s="143"/>
      <c r="J902" s="143"/>
      <c r="K902" s="143"/>
      <c r="L902" s="143"/>
      <c r="M902" s="143"/>
      <c r="N902" s="143"/>
      <c r="O902" s="143"/>
      <c r="P902" s="143"/>
      <c r="Q902" s="143"/>
      <c r="R902" s="143"/>
      <c r="S902" s="143"/>
      <c r="T902" s="143"/>
      <c r="U902" s="143"/>
      <c r="V902" s="143"/>
      <c r="W902" s="143"/>
      <c r="X902" s="143"/>
      <c r="Y902" s="143"/>
      <c r="Z902" s="143"/>
    </row>
    <row r="903" spans="1:26" ht="18.75">
      <c r="A903" s="143"/>
      <c r="B903" s="140"/>
      <c r="C903" s="141"/>
      <c r="D903" s="142"/>
      <c r="E903" s="142"/>
      <c r="F903" s="143"/>
      <c r="G903" s="152"/>
      <c r="H903" s="152"/>
      <c r="I903" s="143"/>
      <c r="J903" s="143"/>
      <c r="K903" s="143"/>
      <c r="L903" s="143"/>
      <c r="M903" s="143"/>
      <c r="N903" s="143"/>
      <c r="O903" s="143"/>
      <c r="P903" s="143"/>
      <c r="Q903" s="143"/>
      <c r="R903" s="143"/>
      <c r="S903" s="143"/>
      <c r="T903" s="143"/>
      <c r="U903" s="143"/>
      <c r="V903" s="143"/>
      <c r="W903" s="143"/>
      <c r="X903" s="143"/>
      <c r="Y903" s="143"/>
      <c r="Z903" s="143"/>
    </row>
    <row r="904" spans="1:26" ht="18.75">
      <c r="A904" s="143"/>
      <c r="B904" s="140"/>
      <c r="C904" s="141"/>
      <c r="D904" s="142"/>
      <c r="E904" s="142"/>
      <c r="F904" s="143"/>
      <c r="G904" s="150"/>
      <c r="H904" s="150"/>
      <c r="I904" s="143"/>
      <c r="J904" s="143"/>
      <c r="K904" s="143"/>
      <c r="L904" s="143"/>
      <c r="M904" s="143"/>
      <c r="N904" s="143"/>
      <c r="O904" s="143"/>
      <c r="P904" s="143"/>
      <c r="Q904" s="143"/>
      <c r="R904" s="143"/>
      <c r="S904" s="143"/>
      <c r="T904" s="143"/>
      <c r="U904" s="143"/>
      <c r="V904" s="143"/>
      <c r="W904" s="143"/>
      <c r="X904" s="143"/>
      <c r="Y904" s="143"/>
      <c r="Z904" s="143"/>
    </row>
    <row r="905" spans="1:26" ht="18.75">
      <c r="A905" s="143"/>
      <c r="B905" s="140"/>
      <c r="C905" s="141"/>
      <c r="D905" s="142"/>
      <c r="E905" s="142"/>
      <c r="F905" s="143"/>
      <c r="G905" s="152"/>
      <c r="H905" s="152"/>
      <c r="I905" s="143"/>
      <c r="J905" s="143"/>
      <c r="K905" s="143"/>
      <c r="L905" s="143"/>
      <c r="M905" s="143"/>
      <c r="N905" s="143"/>
      <c r="O905" s="143"/>
      <c r="P905" s="143"/>
      <c r="Q905" s="143"/>
      <c r="R905" s="143"/>
      <c r="S905" s="143"/>
      <c r="T905" s="143"/>
      <c r="U905" s="143"/>
      <c r="V905" s="143"/>
      <c r="W905" s="143"/>
      <c r="X905" s="143"/>
      <c r="Y905" s="143"/>
      <c r="Z905" s="143"/>
    </row>
    <row r="906" spans="1:26" ht="18.75">
      <c r="A906" s="143"/>
      <c r="B906" s="140"/>
      <c r="C906" s="141"/>
      <c r="D906" s="142"/>
      <c r="E906" s="142"/>
      <c r="F906" s="143"/>
      <c r="G906" s="150"/>
      <c r="H906" s="150"/>
      <c r="I906" s="143"/>
      <c r="J906" s="143"/>
      <c r="K906" s="143"/>
      <c r="L906" s="143"/>
      <c r="M906" s="143"/>
      <c r="N906" s="143"/>
      <c r="O906" s="143"/>
      <c r="P906" s="143"/>
      <c r="Q906" s="143"/>
      <c r="R906" s="143"/>
      <c r="S906" s="143"/>
      <c r="T906" s="143"/>
      <c r="U906" s="143"/>
      <c r="V906" s="143"/>
      <c r="W906" s="143"/>
      <c r="X906" s="143"/>
      <c r="Y906" s="143"/>
      <c r="Z906" s="143"/>
    </row>
    <row r="907" spans="1:26" ht="18.75">
      <c r="A907" s="143"/>
      <c r="B907" s="140"/>
      <c r="C907" s="141"/>
      <c r="D907" s="142"/>
      <c r="E907" s="142"/>
      <c r="F907" s="143"/>
      <c r="G907" s="152"/>
      <c r="H907" s="152"/>
      <c r="I907" s="143"/>
      <c r="J907" s="143"/>
      <c r="K907" s="143"/>
      <c r="L907" s="143"/>
      <c r="M907" s="143"/>
      <c r="N907" s="143"/>
      <c r="O907" s="143"/>
      <c r="P907" s="143"/>
      <c r="Q907" s="143"/>
      <c r="R907" s="143"/>
      <c r="S907" s="143"/>
      <c r="T907" s="143"/>
      <c r="U907" s="143"/>
      <c r="V907" s="143"/>
      <c r="W907" s="143"/>
      <c r="X907" s="143"/>
      <c r="Y907" s="143"/>
      <c r="Z907" s="143"/>
    </row>
    <row r="908" spans="1:26" ht="18.75">
      <c r="A908" s="143"/>
      <c r="B908" s="140"/>
      <c r="C908" s="141"/>
      <c r="D908" s="142"/>
      <c r="E908" s="142"/>
      <c r="F908" s="143"/>
      <c r="G908" s="150"/>
      <c r="H908" s="150"/>
      <c r="I908" s="143"/>
      <c r="J908" s="143"/>
      <c r="K908" s="143"/>
      <c r="L908" s="143"/>
      <c r="M908" s="143"/>
      <c r="N908" s="143"/>
      <c r="O908" s="143"/>
      <c r="P908" s="143"/>
      <c r="Q908" s="143"/>
      <c r="R908" s="143"/>
      <c r="S908" s="143"/>
      <c r="T908" s="143"/>
      <c r="U908" s="143"/>
      <c r="V908" s="143"/>
      <c r="W908" s="143"/>
      <c r="X908" s="143"/>
      <c r="Y908" s="143"/>
      <c r="Z908" s="143"/>
    </row>
    <row r="909" spans="1:26" ht="18.75">
      <c r="A909" s="143"/>
      <c r="B909" s="140"/>
      <c r="C909" s="141"/>
      <c r="D909" s="142"/>
      <c r="E909" s="142"/>
      <c r="F909" s="143"/>
      <c r="G909" s="152"/>
      <c r="H909" s="152"/>
      <c r="I909" s="143"/>
      <c r="J909" s="143"/>
      <c r="K909" s="143"/>
      <c r="L909" s="143"/>
      <c r="M909" s="143"/>
      <c r="N909" s="143"/>
      <c r="O909" s="143"/>
      <c r="P909" s="143"/>
      <c r="Q909" s="143"/>
      <c r="R909" s="143"/>
      <c r="S909" s="143"/>
      <c r="T909" s="143"/>
      <c r="U909" s="143"/>
      <c r="V909" s="143"/>
      <c r="W909" s="143"/>
      <c r="X909" s="143"/>
      <c r="Y909" s="143"/>
      <c r="Z909" s="143"/>
    </row>
    <row r="910" spans="1:26" ht="18.75">
      <c r="A910" s="143"/>
      <c r="B910" s="140"/>
      <c r="C910" s="141"/>
      <c r="D910" s="142"/>
      <c r="E910" s="142"/>
      <c r="F910" s="143"/>
      <c r="G910" s="150"/>
      <c r="H910" s="150"/>
      <c r="I910" s="143"/>
      <c r="J910" s="143"/>
      <c r="K910" s="143"/>
      <c r="L910" s="143"/>
      <c r="M910" s="143"/>
      <c r="N910" s="143"/>
      <c r="O910" s="143"/>
      <c r="P910" s="143"/>
      <c r="Q910" s="143"/>
      <c r="R910" s="143"/>
      <c r="S910" s="143"/>
      <c r="T910" s="143"/>
      <c r="U910" s="143"/>
      <c r="V910" s="143"/>
      <c r="W910" s="143"/>
      <c r="X910" s="143"/>
      <c r="Y910" s="143"/>
      <c r="Z910" s="143"/>
    </row>
    <row r="911" spans="1:26" ht="18.75">
      <c r="A911" s="143"/>
      <c r="B911" s="140"/>
      <c r="C911" s="141"/>
      <c r="D911" s="142"/>
      <c r="E911" s="142"/>
      <c r="F911" s="143"/>
      <c r="G911" s="152"/>
      <c r="H911" s="152"/>
      <c r="I911" s="143"/>
      <c r="J911" s="143"/>
      <c r="K911" s="143"/>
      <c r="L911" s="143"/>
      <c r="M911" s="143"/>
      <c r="N911" s="143"/>
      <c r="O911" s="143"/>
      <c r="P911" s="143"/>
      <c r="Q911" s="143"/>
      <c r="R911" s="143"/>
      <c r="S911" s="143"/>
      <c r="T911" s="143"/>
      <c r="U911" s="143"/>
      <c r="V911" s="143"/>
      <c r="W911" s="143"/>
      <c r="X911" s="143"/>
      <c r="Y911" s="143"/>
      <c r="Z911" s="143"/>
    </row>
    <row r="912" spans="1:26" ht="18.75">
      <c r="A912" s="143"/>
      <c r="B912" s="140"/>
      <c r="C912" s="141"/>
      <c r="D912" s="142"/>
      <c r="E912" s="142"/>
      <c r="F912" s="143"/>
      <c r="G912" s="150"/>
      <c r="H912" s="150"/>
      <c r="I912" s="143"/>
      <c r="J912" s="143"/>
      <c r="K912" s="143"/>
      <c r="L912" s="143"/>
      <c r="M912" s="143"/>
      <c r="N912" s="143"/>
      <c r="O912" s="143"/>
      <c r="P912" s="143"/>
      <c r="Q912" s="143"/>
      <c r="R912" s="143"/>
      <c r="S912" s="143"/>
      <c r="T912" s="143"/>
      <c r="U912" s="143"/>
      <c r="V912" s="143"/>
      <c r="W912" s="143"/>
      <c r="X912" s="143"/>
      <c r="Y912" s="143"/>
      <c r="Z912" s="143"/>
    </row>
    <row r="913" spans="1:26" ht="18.75">
      <c r="A913" s="143"/>
      <c r="B913" s="140"/>
      <c r="C913" s="141"/>
      <c r="D913" s="142"/>
      <c r="E913" s="142"/>
      <c r="F913" s="143"/>
      <c r="G913" s="152"/>
      <c r="H913" s="152"/>
      <c r="I913" s="143"/>
      <c r="J913" s="143"/>
      <c r="K913" s="143"/>
      <c r="L913" s="143"/>
      <c r="M913" s="143"/>
      <c r="N913" s="143"/>
      <c r="O913" s="143"/>
      <c r="P913" s="143"/>
      <c r="Q913" s="143"/>
      <c r="R913" s="143"/>
      <c r="S913" s="143"/>
      <c r="T913" s="143"/>
      <c r="U913" s="143"/>
      <c r="V913" s="143"/>
      <c r="W913" s="143"/>
      <c r="X913" s="143"/>
      <c r="Y913" s="143"/>
      <c r="Z913" s="143"/>
    </row>
    <row r="914" spans="1:26" ht="18.75">
      <c r="A914" s="143"/>
      <c r="B914" s="140"/>
      <c r="C914" s="141"/>
      <c r="D914" s="142"/>
      <c r="E914" s="142"/>
      <c r="F914" s="143"/>
      <c r="G914" s="150"/>
      <c r="H914" s="150"/>
      <c r="I914" s="143"/>
      <c r="J914" s="143"/>
      <c r="K914" s="143"/>
      <c r="L914" s="143"/>
      <c r="M914" s="143"/>
      <c r="N914" s="143"/>
      <c r="O914" s="143"/>
      <c r="P914" s="143"/>
      <c r="Q914" s="143"/>
      <c r="R914" s="143"/>
      <c r="S914" s="143"/>
      <c r="T914" s="143"/>
      <c r="U914" s="143"/>
      <c r="V914" s="143"/>
      <c r="W914" s="143"/>
      <c r="X914" s="143"/>
      <c r="Y914" s="143"/>
      <c r="Z914" s="143"/>
    </row>
    <row r="915" spans="1:26" ht="18.75">
      <c r="A915" s="143"/>
      <c r="B915" s="140"/>
      <c r="C915" s="141"/>
      <c r="D915" s="142"/>
      <c r="E915" s="142"/>
      <c r="F915" s="143"/>
      <c r="G915" s="152"/>
      <c r="H915" s="152"/>
      <c r="I915" s="143"/>
      <c r="J915" s="143"/>
      <c r="K915" s="143"/>
      <c r="L915" s="143"/>
      <c r="M915" s="143"/>
      <c r="N915" s="143"/>
      <c r="O915" s="143"/>
      <c r="P915" s="143"/>
      <c r="Q915" s="143"/>
      <c r="R915" s="143"/>
      <c r="S915" s="143"/>
      <c r="T915" s="143"/>
      <c r="U915" s="143"/>
      <c r="V915" s="143"/>
      <c r="W915" s="143"/>
      <c r="X915" s="143"/>
      <c r="Y915" s="143"/>
      <c r="Z915" s="143"/>
    </row>
    <row r="916" spans="1:26" ht="18.75">
      <c r="A916" s="143"/>
      <c r="B916" s="140"/>
      <c r="C916" s="141"/>
      <c r="D916" s="142"/>
      <c r="E916" s="142"/>
      <c r="F916" s="143"/>
      <c r="G916" s="150"/>
      <c r="H916" s="150"/>
      <c r="I916" s="143"/>
      <c r="J916" s="143"/>
      <c r="K916" s="143"/>
      <c r="L916" s="143"/>
      <c r="M916" s="143"/>
      <c r="N916" s="143"/>
      <c r="O916" s="143"/>
      <c r="P916" s="143"/>
      <c r="Q916" s="143"/>
      <c r="R916" s="143"/>
      <c r="S916" s="143"/>
      <c r="T916" s="143"/>
      <c r="U916" s="143"/>
      <c r="V916" s="143"/>
      <c r="W916" s="143"/>
      <c r="X916" s="143"/>
      <c r="Y916" s="143"/>
      <c r="Z916" s="143"/>
    </row>
    <row r="917" spans="1:26" ht="18.75">
      <c r="A917" s="143"/>
      <c r="B917" s="140"/>
      <c r="C917" s="141"/>
      <c r="D917" s="142"/>
      <c r="E917" s="142"/>
      <c r="F917" s="143"/>
      <c r="G917" s="152"/>
      <c r="H917" s="152"/>
      <c r="I917" s="143"/>
      <c r="J917" s="143"/>
      <c r="K917" s="143"/>
      <c r="L917" s="143"/>
      <c r="M917" s="143"/>
      <c r="N917" s="143"/>
      <c r="O917" s="143"/>
      <c r="P917" s="143"/>
      <c r="Q917" s="143"/>
      <c r="R917" s="143"/>
      <c r="S917" s="143"/>
      <c r="T917" s="143"/>
      <c r="U917" s="143"/>
      <c r="V917" s="143"/>
      <c r="W917" s="143"/>
      <c r="X917" s="143"/>
      <c r="Y917" s="143"/>
      <c r="Z917" s="143"/>
    </row>
    <row r="918" spans="1:26" ht="18.75">
      <c r="A918" s="143"/>
      <c r="B918" s="140"/>
      <c r="C918" s="141"/>
      <c r="D918" s="142"/>
      <c r="E918" s="142"/>
      <c r="F918" s="143"/>
      <c r="G918" s="150"/>
      <c r="H918" s="150"/>
      <c r="I918" s="143"/>
      <c r="J918" s="143"/>
      <c r="K918" s="143"/>
      <c r="L918" s="143"/>
      <c r="M918" s="143"/>
      <c r="N918" s="143"/>
      <c r="O918" s="143"/>
      <c r="P918" s="143"/>
      <c r="Q918" s="143"/>
      <c r="R918" s="143"/>
      <c r="S918" s="143"/>
      <c r="T918" s="143"/>
      <c r="U918" s="143"/>
      <c r="V918" s="143"/>
      <c r="W918" s="143"/>
      <c r="X918" s="143"/>
      <c r="Y918" s="143"/>
      <c r="Z918" s="143"/>
    </row>
    <row r="919" spans="1:26" ht="18.75">
      <c r="A919" s="143"/>
      <c r="B919" s="140"/>
      <c r="C919" s="141"/>
      <c r="D919" s="142"/>
      <c r="E919" s="142"/>
      <c r="F919" s="143"/>
      <c r="G919" s="152"/>
      <c r="H919" s="152"/>
      <c r="I919" s="143"/>
      <c r="J919" s="143"/>
      <c r="K919" s="143"/>
      <c r="L919" s="143"/>
      <c r="M919" s="143"/>
      <c r="N919" s="143"/>
      <c r="O919" s="143"/>
      <c r="P919" s="143"/>
      <c r="Q919" s="143"/>
      <c r="R919" s="143"/>
      <c r="S919" s="143"/>
      <c r="T919" s="143"/>
      <c r="U919" s="143"/>
      <c r="V919" s="143"/>
      <c r="W919" s="143"/>
      <c r="X919" s="143"/>
      <c r="Y919" s="143"/>
      <c r="Z919" s="143"/>
    </row>
    <row r="920" spans="1:26" ht="18.75">
      <c r="A920" s="143"/>
      <c r="B920" s="140"/>
      <c r="C920" s="141"/>
      <c r="D920" s="142"/>
      <c r="E920" s="142"/>
      <c r="F920" s="143"/>
      <c r="G920" s="150"/>
      <c r="H920" s="150"/>
      <c r="I920" s="143"/>
      <c r="J920" s="143"/>
      <c r="K920" s="143"/>
      <c r="L920" s="143"/>
      <c r="M920" s="143"/>
      <c r="N920" s="143"/>
      <c r="O920" s="143"/>
      <c r="P920" s="143"/>
      <c r="Q920" s="143"/>
      <c r="R920" s="143"/>
      <c r="S920" s="143"/>
      <c r="T920" s="143"/>
      <c r="U920" s="143"/>
      <c r="V920" s="143"/>
      <c r="W920" s="143"/>
      <c r="X920" s="143"/>
      <c r="Y920" s="143"/>
      <c r="Z920" s="143"/>
    </row>
    <row r="921" spans="1:26" ht="18.75">
      <c r="A921" s="143"/>
      <c r="B921" s="140"/>
      <c r="C921" s="141"/>
      <c r="D921" s="142"/>
      <c r="E921" s="142"/>
      <c r="F921" s="143"/>
      <c r="G921" s="152"/>
      <c r="H921" s="152"/>
      <c r="I921" s="143"/>
      <c r="J921" s="143"/>
      <c r="K921" s="143"/>
      <c r="L921" s="143"/>
      <c r="M921" s="143"/>
      <c r="N921" s="143"/>
      <c r="O921" s="143"/>
      <c r="P921" s="143"/>
      <c r="Q921" s="143"/>
      <c r="R921" s="143"/>
      <c r="S921" s="143"/>
      <c r="T921" s="143"/>
      <c r="U921" s="143"/>
      <c r="V921" s="143"/>
      <c r="W921" s="143"/>
      <c r="X921" s="143"/>
      <c r="Y921" s="143"/>
      <c r="Z921" s="143"/>
    </row>
    <row r="922" spans="1:26" ht="18.75">
      <c r="A922" s="143"/>
      <c r="B922" s="140"/>
      <c r="C922" s="141"/>
      <c r="D922" s="142"/>
      <c r="E922" s="142"/>
      <c r="F922" s="143"/>
      <c r="G922" s="150"/>
      <c r="H922" s="150"/>
      <c r="I922" s="143"/>
      <c r="J922" s="143"/>
      <c r="K922" s="143"/>
      <c r="L922" s="143"/>
      <c r="M922" s="143"/>
      <c r="N922" s="143"/>
      <c r="O922" s="143"/>
      <c r="P922" s="143"/>
      <c r="Q922" s="143"/>
      <c r="R922" s="143"/>
      <c r="S922" s="143"/>
      <c r="T922" s="143"/>
      <c r="U922" s="143"/>
      <c r="V922" s="143"/>
      <c r="W922" s="143"/>
      <c r="X922" s="143"/>
      <c r="Y922" s="143"/>
      <c r="Z922" s="143"/>
    </row>
    <row r="923" spans="1:26" ht="18.75">
      <c r="A923" s="143"/>
      <c r="B923" s="140"/>
      <c r="C923" s="141"/>
      <c r="D923" s="142"/>
      <c r="E923" s="142"/>
      <c r="F923" s="143"/>
      <c r="G923" s="152"/>
      <c r="H923" s="152"/>
      <c r="I923" s="143"/>
      <c r="J923" s="143"/>
      <c r="K923" s="143"/>
      <c r="L923" s="143"/>
      <c r="M923" s="143"/>
      <c r="N923" s="143"/>
      <c r="O923" s="143"/>
      <c r="P923" s="143"/>
      <c r="Q923" s="143"/>
      <c r="R923" s="143"/>
      <c r="S923" s="143"/>
      <c r="T923" s="143"/>
      <c r="U923" s="143"/>
      <c r="V923" s="143"/>
      <c r="W923" s="143"/>
      <c r="X923" s="143"/>
      <c r="Y923" s="143"/>
      <c r="Z923" s="143"/>
    </row>
    <row r="924" spans="1:26" ht="18.75">
      <c r="A924" s="143"/>
      <c r="B924" s="140"/>
      <c r="C924" s="141"/>
      <c r="D924" s="142"/>
      <c r="E924" s="142"/>
      <c r="F924" s="143"/>
      <c r="G924" s="150"/>
      <c r="H924" s="150"/>
      <c r="I924" s="143"/>
      <c r="J924" s="143"/>
      <c r="K924" s="143"/>
      <c r="L924" s="143"/>
      <c r="M924" s="143"/>
      <c r="N924" s="143"/>
      <c r="O924" s="143"/>
      <c r="P924" s="143"/>
      <c r="Q924" s="143"/>
      <c r="R924" s="143"/>
      <c r="S924" s="143"/>
      <c r="T924" s="143"/>
      <c r="U924" s="143"/>
      <c r="V924" s="143"/>
      <c r="W924" s="143"/>
      <c r="X924" s="143"/>
      <c r="Y924" s="143"/>
      <c r="Z924" s="143"/>
    </row>
    <row r="925" spans="1:26" ht="18.75">
      <c r="A925" s="143"/>
      <c r="B925" s="140"/>
      <c r="C925" s="141"/>
      <c r="D925" s="142"/>
      <c r="E925" s="142"/>
      <c r="F925" s="143"/>
      <c r="G925" s="152"/>
      <c r="H925" s="152"/>
      <c r="I925" s="143"/>
      <c r="J925" s="143"/>
      <c r="K925" s="143"/>
      <c r="L925" s="143"/>
      <c r="M925" s="143"/>
      <c r="N925" s="143"/>
      <c r="O925" s="143"/>
      <c r="P925" s="143"/>
      <c r="Q925" s="143"/>
      <c r="R925" s="143"/>
      <c r="S925" s="143"/>
      <c r="T925" s="143"/>
      <c r="U925" s="143"/>
      <c r="V925" s="143"/>
      <c r="W925" s="143"/>
      <c r="X925" s="143"/>
      <c r="Y925" s="143"/>
      <c r="Z925" s="143"/>
    </row>
    <row r="926" spans="1:26" ht="18.75">
      <c r="A926" s="143"/>
      <c r="B926" s="140"/>
      <c r="C926" s="141"/>
      <c r="D926" s="142"/>
      <c r="E926" s="142"/>
      <c r="F926" s="143"/>
      <c r="G926" s="150"/>
      <c r="H926" s="150"/>
      <c r="I926" s="143"/>
      <c r="J926" s="143"/>
      <c r="K926" s="143"/>
      <c r="L926" s="143"/>
      <c r="M926" s="143"/>
      <c r="N926" s="143"/>
      <c r="O926" s="143"/>
      <c r="P926" s="143"/>
      <c r="Q926" s="143"/>
      <c r="R926" s="143"/>
      <c r="S926" s="143"/>
      <c r="T926" s="143"/>
      <c r="U926" s="143"/>
      <c r="V926" s="143"/>
      <c r="W926" s="143"/>
      <c r="X926" s="143"/>
      <c r="Y926" s="143"/>
      <c r="Z926" s="143"/>
    </row>
    <row r="927" spans="1:26" ht="18.75">
      <c r="A927" s="143"/>
      <c r="B927" s="140"/>
      <c r="C927" s="141"/>
      <c r="D927" s="142"/>
      <c r="E927" s="142"/>
      <c r="F927" s="143"/>
      <c r="G927" s="152"/>
      <c r="H927" s="152"/>
      <c r="I927" s="143"/>
      <c r="J927" s="143"/>
      <c r="K927" s="143"/>
      <c r="L927" s="143"/>
      <c r="M927" s="143"/>
      <c r="N927" s="143"/>
      <c r="O927" s="143"/>
      <c r="P927" s="143"/>
      <c r="Q927" s="143"/>
      <c r="R927" s="143"/>
      <c r="S927" s="143"/>
      <c r="T927" s="143"/>
      <c r="U927" s="143"/>
      <c r="V927" s="143"/>
      <c r="W927" s="143"/>
      <c r="X927" s="143"/>
      <c r="Y927" s="143"/>
      <c r="Z927" s="143"/>
    </row>
    <row r="928" spans="1:26" ht="18.75">
      <c r="A928" s="143"/>
      <c r="B928" s="140"/>
      <c r="C928" s="141"/>
      <c r="D928" s="142"/>
      <c r="E928" s="142"/>
      <c r="F928" s="143"/>
      <c r="G928" s="150"/>
      <c r="H928" s="150"/>
      <c r="I928" s="143"/>
      <c r="J928" s="143"/>
      <c r="K928" s="143"/>
      <c r="L928" s="143"/>
      <c r="M928" s="143"/>
      <c r="N928" s="143"/>
      <c r="O928" s="143"/>
      <c r="P928" s="143"/>
      <c r="Q928" s="143"/>
      <c r="R928" s="143"/>
      <c r="S928" s="143"/>
      <c r="T928" s="143"/>
      <c r="U928" s="143"/>
      <c r="V928" s="143"/>
      <c r="W928" s="143"/>
      <c r="X928" s="143"/>
      <c r="Y928" s="143"/>
      <c r="Z928" s="143"/>
    </row>
    <row r="929" spans="1:26" ht="18.75">
      <c r="A929" s="143"/>
      <c r="B929" s="140"/>
      <c r="C929" s="141"/>
      <c r="D929" s="142"/>
      <c r="E929" s="142"/>
      <c r="F929" s="143"/>
      <c r="G929" s="152"/>
      <c r="H929" s="152"/>
      <c r="I929" s="143"/>
      <c r="J929" s="143"/>
      <c r="K929" s="143"/>
      <c r="L929" s="143"/>
      <c r="M929" s="143"/>
      <c r="N929" s="143"/>
      <c r="O929" s="143"/>
      <c r="P929" s="143"/>
      <c r="Q929" s="143"/>
      <c r="R929" s="143"/>
      <c r="S929" s="143"/>
      <c r="T929" s="143"/>
      <c r="U929" s="143"/>
      <c r="V929" s="143"/>
      <c r="W929" s="143"/>
      <c r="X929" s="143"/>
      <c r="Y929" s="143"/>
      <c r="Z929" s="143"/>
    </row>
    <row r="930" spans="1:26" ht="18.75">
      <c r="A930" s="143"/>
      <c r="B930" s="140"/>
      <c r="C930" s="141"/>
      <c r="D930" s="142"/>
      <c r="E930" s="142"/>
      <c r="F930" s="143"/>
      <c r="G930" s="150"/>
      <c r="H930" s="150"/>
      <c r="I930" s="143"/>
      <c r="J930" s="143"/>
      <c r="K930" s="143"/>
      <c r="L930" s="143"/>
      <c r="M930" s="143"/>
      <c r="N930" s="143"/>
      <c r="O930" s="143"/>
      <c r="P930" s="143"/>
      <c r="Q930" s="143"/>
      <c r="R930" s="143"/>
      <c r="S930" s="143"/>
      <c r="T930" s="143"/>
      <c r="U930" s="143"/>
      <c r="V930" s="143"/>
      <c r="W930" s="143"/>
      <c r="X930" s="143"/>
      <c r="Y930" s="143"/>
      <c r="Z930" s="143"/>
    </row>
    <row r="931" spans="1:26" ht="18.75">
      <c r="A931" s="143"/>
      <c r="B931" s="140"/>
      <c r="C931" s="141"/>
      <c r="D931" s="142"/>
      <c r="E931" s="142"/>
      <c r="F931" s="143"/>
      <c r="G931" s="152"/>
      <c r="H931" s="152"/>
      <c r="I931" s="143"/>
      <c r="J931" s="143"/>
      <c r="K931" s="143"/>
      <c r="L931" s="143"/>
      <c r="M931" s="143"/>
      <c r="N931" s="143"/>
      <c r="O931" s="143"/>
      <c r="P931" s="143"/>
      <c r="Q931" s="143"/>
      <c r="R931" s="143"/>
      <c r="S931" s="143"/>
      <c r="T931" s="143"/>
      <c r="U931" s="143"/>
      <c r="V931" s="143"/>
      <c r="W931" s="143"/>
      <c r="X931" s="143"/>
      <c r="Y931" s="143"/>
      <c r="Z931" s="143"/>
    </row>
    <row r="932" spans="1:26" ht="18.75">
      <c r="A932" s="143"/>
      <c r="B932" s="140"/>
      <c r="C932" s="141"/>
      <c r="D932" s="142"/>
      <c r="E932" s="142"/>
      <c r="F932" s="143"/>
      <c r="G932" s="150"/>
      <c r="H932" s="150"/>
      <c r="I932" s="143"/>
      <c r="J932" s="143"/>
      <c r="K932" s="143"/>
      <c r="L932" s="143"/>
      <c r="M932" s="143"/>
      <c r="N932" s="143"/>
      <c r="O932" s="143"/>
      <c r="P932" s="143"/>
      <c r="Q932" s="143"/>
      <c r="R932" s="143"/>
      <c r="S932" s="143"/>
      <c r="T932" s="143"/>
      <c r="U932" s="143"/>
      <c r="V932" s="143"/>
      <c r="W932" s="143"/>
      <c r="X932" s="143"/>
      <c r="Y932" s="143"/>
      <c r="Z932" s="143"/>
    </row>
    <row r="933" spans="1:26" ht="18.75">
      <c r="A933" s="143"/>
      <c r="B933" s="140"/>
      <c r="C933" s="141"/>
      <c r="D933" s="142"/>
      <c r="E933" s="142"/>
      <c r="F933" s="143"/>
      <c r="G933" s="152"/>
      <c r="H933" s="152"/>
      <c r="I933" s="143"/>
      <c r="J933" s="143"/>
      <c r="K933" s="143"/>
      <c r="L933" s="143"/>
      <c r="M933" s="143"/>
      <c r="N933" s="143"/>
      <c r="O933" s="143"/>
      <c r="P933" s="143"/>
      <c r="Q933" s="143"/>
      <c r="R933" s="143"/>
      <c r="S933" s="143"/>
      <c r="T933" s="143"/>
      <c r="U933" s="143"/>
      <c r="V933" s="143"/>
      <c r="W933" s="143"/>
      <c r="X933" s="143"/>
      <c r="Y933" s="143"/>
      <c r="Z933" s="143"/>
    </row>
    <row r="934" spans="1:26" ht="18.75">
      <c r="A934" s="143"/>
      <c r="B934" s="140"/>
      <c r="C934" s="141"/>
      <c r="D934" s="142"/>
      <c r="E934" s="142"/>
      <c r="F934" s="143"/>
      <c r="G934" s="150"/>
      <c r="H934" s="150"/>
      <c r="I934" s="143"/>
      <c r="J934" s="143"/>
      <c r="K934" s="143"/>
      <c r="L934" s="143"/>
      <c r="M934" s="143"/>
      <c r="N934" s="143"/>
      <c r="O934" s="143"/>
      <c r="P934" s="143"/>
      <c r="Q934" s="143"/>
      <c r="R934" s="143"/>
      <c r="S934" s="143"/>
      <c r="T934" s="143"/>
      <c r="U934" s="143"/>
      <c r="V934" s="143"/>
      <c r="W934" s="143"/>
      <c r="X934" s="143"/>
      <c r="Y934" s="143"/>
      <c r="Z934" s="143"/>
    </row>
    <row r="935" spans="1:26" ht="18.75">
      <c r="A935" s="143"/>
      <c r="B935" s="140"/>
      <c r="C935" s="141"/>
      <c r="D935" s="142"/>
      <c r="E935" s="142"/>
      <c r="F935" s="143"/>
      <c r="G935" s="152"/>
      <c r="H935" s="152"/>
      <c r="I935" s="143"/>
      <c r="J935" s="143"/>
      <c r="K935" s="143"/>
      <c r="L935" s="143"/>
      <c r="M935" s="143"/>
      <c r="N935" s="143"/>
      <c r="O935" s="143"/>
      <c r="P935" s="143"/>
      <c r="Q935" s="143"/>
      <c r="R935" s="143"/>
      <c r="S935" s="143"/>
      <c r="T935" s="143"/>
      <c r="U935" s="143"/>
      <c r="V935" s="143"/>
      <c r="W935" s="143"/>
      <c r="X935" s="143"/>
      <c r="Y935" s="143"/>
      <c r="Z935" s="143"/>
    </row>
    <row r="936" spans="1:26" ht="18.75">
      <c r="A936" s="143"/>
      <c r="B936" s="140"/>
      <c r="C936" s="141"/>
      <c r="D936" s="142"/>
      <c r="E936" s="142"/>
      <c r="F936" s="143"/>
      <c r="G936" s="150"/>
      <c r="H936" s="150"/>
      <c r="I936" s="143"/>
      <c r="J936" s="143"/>
      <c r="K936" s="143"/>
      <c r="L936" s="143"/>
      <c r="M936" s="143"/>
      <c r="N936" s="143"/>
      <c r="O936" s="143"/>
      <c r="P936" s="143"/>
      <c r="Q936" s="143"/>
      <c r="R936" s="143"/>
      <c r="S936" s="143"/>
      <c r="T936" s="143"/>
      <c r="U936" s="143"/>
      <c r="V936" s="143"/>
      <c r="W936" s="143"/>
      <c r="X936" s="143"/>
      <c r="Y936" s="143"/>
      <c r="Z936" s="143"/>
    </row>
    <row r="937" spans="1:26" ht="18.75">
      <c r="A937" s="143"/>
      <c r="B937" s="140"/>
      <c r="C937" s="141"/>
      <c r="D937" s="142"/>
      <c r="E937" s="142"/>
      <c r="F937" s="143"/>
      <c r="G937" s="152"/>
      <c r="H937" s="152"/>
      <c r="I937" s="143"/>
      <c r="J937" s="143"/>
      <c r="K937" s="143"/>
      <c r="L937" s="143"/>
      <c r="M937" s="143"/>
      <c r="N937" s="143"/>
      <c r="O937" s="143"/>
      <c r="P937" s="143"/>
      <c r="Q937" s="143"/>
      <c r="R937" s="143"/>
      <c r="S937" s="143"/>
      <c r="T937" s="143"/>
      <c r="U937" s="143"/>
      <c r="V937" s="143"/>
      <c r="W937" s="143"/>
      <c r="X937" s="143"/>
      <c r="Y937" s="143"/>
      <c r="Z937" s="143"/>
    </row>
    <row r="938" spans="1:26" ht="18.75">
      <c r="A938" s="143"/>
      <c r="B938" s="140"/>
      <c r="C938" s="141"/>
      <c r="D938" s="142"/>
      <c r="E938" s="142"/>
      <c r="F938" s="143"/>
      <c r="G938" s="150"/>
      <c r="H938" s="150"/>
      <c r="I938" s="143"/>
      <c r="J938" s="143"/>
      <c r="K938" s="143"/>
      <c r="L938" s="143"/>
      <c r="M938" s="143"/>
      <c r="N938" s="143"/>
      <c r="O938" s="143"/>
      <c r="P938" s="143"/>
      <c r="Q938" s="143"/>
      <c r="R938" s="143"/>
      <c r="S938" s="143"/>
      <c r="T938" s="143"/>
      <c r="U938" s="143"/>
      <c r="V938" s="143"/>
      <c r="W938" s="143"/>
      <c r="X938" s="143"/>
      <c r="Y938" s="143"/>
      <c r="Z938" s="143"/>
    </row>
    <row r="939" spans="1:26" ht="18.75">
      <c r="A939" s="143"/>
      <c r="B939" s="140"/>
      <c r="C939" s="141"/>
      <c r="D939" s="142"/>
      <c r="E939" s="142"/>
      <c r="F939" s="143"/>
      <c r="G939" s="152"/>
      <c r="H939" s="152"/>
      <c r="I939" s="143"/>
      <c r="J939" s="143"/>
      <c r="K939" s="143"/>
      <c r="L939" s="143"/>
      <c r="M939" s="143"/>
      <c r="N939" s="143"/>
      <c r="O939" s="143"/>
      <c r="P939" s="143"/>
      <c r="Q939" s="143"/>
      <c r="R939" s="143"/>
      <c r="S939" s="143"/>
      <c r="T939" s="143"/>
      <c r="U939" s="143"/>
      <c r="V939" s="143"/>
      <c r="W939" s="143"/>
      <c r="X939" s="143"/>
      <c r="Y939" s="143"/>
      <c r="Z939" s="143"/>
    </row>
    <row r="940" spans="1:26" ht="18.75">
      <c r="A940" s="143"/>
      <c r="B940" s="140"/>
      <c r="C940" s="141"/>
      <c r="D940" s="142"/>
      <c r="E940" s="142"/>
      <c r="F940" s="143"/>
      <c r="G940" s="150"/>
      <c r="H940" s="150"/>
      <c r="I940" s="143"/>
      <c r="J940" s="143"/>
      <c r="K940" s="143"/>
      <c r="L940" s="143"/>
      <c r="M940" s="143"/>
      <c r="N940" s="143"/>
      <c r="O940" s="143"/>
      <c r="P940" s="143"/>
      <c r="Q940" s="143"/>
      <c r="R940" s="143"/>
      <c r="S940" s="143"/>
      <c r="T940" s="143"/>
      <c r="U940" s="143"/>
      <c r="V940" s="143"/>
      <c r="W940" s="143"/>
      <c r="X940" s="143"/>
      <c r="Y940" s="143"/>
      <c r="Z940" s="143"/>
    </row>
    <row r="941" spans="1:26" ht="18.75">
      <c r="A941" s="143"/>
      <c r="B941" s="140"/>
      <c r="C941" s="141"/>
      <c r="D941" s="142"/>
      <c r="E941" s="142"/>
      <c r="F941" s="143"/>
      <c r="G941" s="152"/>
      <c r="H941" s="152"/>
      <c r="I941" s="143"/>
      <c r="J941" s="143"/>
      <c r="K941" s="143"/>
      <c r="L941" s="143"/>
      <c r="M941" s="143"/>
      <c r="N941" s="143"/>
      <c r="O941" s="143"/>
      <c r="P941" s="143"/>
      <c r="Q941" s="143"/>
      <c r="R941" s="143"/>
      <c r="S941" s="143"/>
      <c r="T941" s="143"/>
      <c r="U941" s="143"/>
      <c r="V941" s="143"/>
      <c r="W941" s="143"/>
      <c r="X941" s="143"/>
      <c r="Y941" s="143"/>
      <c r="Z941" s="143"/>
    </row>
    <row r="942" spans="1:26" ht="18.75">
      <c r="A942" s="143"/>
      <c r="B942" s="140"/>
      <c r="C942" s="141"/>
      <c r="D942" s="142"/>
      <c r="E942" s="142"/>
      <c r="F942" s="143"/>
      <c r="G942" s="150"/>
      <c r="H942" s="150"/>
      <c r="I942" s="143"/>
      <c r="J942" s="143"/>
      <c r="K942" s="143"/>
      <c r="L942" s="143"/>
      <c r="M942" s="143"/>
      <c r="N942" s="143"/>
      <c r="O942" s="143"/>
      <c r="P942" s="143"/>
      <c r="Q942" s="143"/>
      <c r="R942" s="143"/>
      <c r="S942" s="143"/>
      <c r="T942" s="143"/>
      <c r="U942" s="143"/>
      <c r="V942" s="143"/>
      <c r="W942" s="143"/>
      <c r="X942" s="143"/>
      <c r="Y942" s="143"/>
      <c r="Z942" s="143"/>
    </row>
    <row r="943" spans="1:26" ht="18.75">
      <c r="A943" s="143"/>
      <c r="B943" s="140"/>
      <c r="C943" s="141"/>
      <c r="D943" s="142"/>
      <c r="E943" s="142"/>
      <c r="F943" s="143"/>
      <c r="G943" s="152"/>
      <c r="H943" s="152"/>
      <c r="I943" s="143"/>
      <c r="J943" s="143"/>
      <c r="K943" s="143"/>
      <c r="L943" s="143"/>
      <c r="M943" s="143"/>
      <c r="N943" s="143"/>
      <c r="O943" s="143"/>
      <c r="P943" s="143"/>
      <c r="Q943" s="143"/>
      <c r="R943" s="143"/>
      <c r="S943" s="143"/>
      <c r="T943" s="143"/>
      <c r="U943" s="143"/>
      <c r="V943" s="143"/>
      <c r="W943" s="143"/>
      <c r="X943" s="143"/>
      <c r="Y943" s="143"/>
      <c r="Z943" s="143"/>
    </row>
    <row r="944" spans="1:26" ht="18.75">
      <c r="A944" s="143"/>
      <c r="B944" s="140"/>
      <c r="C944" s="141"/>
      <c r="D944" s="142"/>
      <c r="E944" s="142"/>
      <c r="F944" s="143"/>
      <c r="G944" s="150"/>
      <c r="H944" s="150"/>
      <c r="I944" s="143"/>
      <c r="J944" s="143"/>
      <c r="K944" s="143"/>
      <c r="L944" s="143"/>
      <c r="M944" s="143"/>
      <c r="N944" s="143"/>
      <c r="O944" s="143"/>
      <c r="P944" s="143"/>
      <c r="Q944" s="143"/>
      <c r="R944" s="143"/>
      <c r="S944" s="143"/>
      <c r="T944" s="143"/>
      <c r="U944" s="143"/>
      <c r="V944" s="143"/>
      <c r="W944" s="143"/>
      <c r="X944" s="143"/>
      <c r="Y944" s="143"/>
      <c r="Z944" s="143"/>
    </row>
    <row r="945" spans="1:26" ht="18.75">
      <c r="A945" s="143"/>
      <c r="B945" s="140"/>
      <c r="C945" s="141"/>
      <c r="D945" s="142"/>
      <c r="E945" s="142"/>
      <c r="F945" s="143"/>
      <c r="G945" s="152"/>
      <c r="H945" s="152"/>
      <c r="I945" s="143"/>
      <c r="J945" s="143"/>
      <c r="K945" s="143"/>
      <c r="L945" s="143"/>
      <c r="M945" s="143"/>
      <c r="N945" s="143"/>
      <c r="O945" s="143"/>
      <c r="P945" s="143"/>
      <c r="Q945" s="143"/>
      <c r="R945" s="143"/>
      <c r="S945" s="143"/>
      <c r="T945" s="143"/>
      <c r="U945" s="143"/>
      <c r="V945" s="143"/>
      <c r="W945" s="143"/>
      <c r="X945" s="143"/>
      <c r="Y945" s="143"/>
      <c r="Z945" s="143"/>
    </row>
    <row r="946" spans="1:26" ht="18.75">
      <c r="A946" s="143"/>
      <c r="B946" s="140"/>
      <c r="C946" s="141"/>
      <c r="D946" s="142"/>
      <c r="E946" s="142"/>
      <c r="F946" s="143"/>
      <c r="G946" s="150"/>
      <c r="H946" s="150"/>
      <c r="I946" s="143"/>
      <c r="J946" s="143"/>
      <c r="K946" s="143"/>
      <c r="L946" s="143"/>
      <c r="M946" s="143"/>
      <c r="N946" s="143"/>
      <c r="O946" s="143"/>
      <c r="P946" s="143"/>
      <c r="Q946" s="143"/>
      <c r="R946" s="143"/>
      <c r="S946" s="143"/>
      <c r="T946" s="143"/>
      <c r="U946" s="143"/>
      <c r="V946" s="143"/>
      <c r="W946" s="143"/>
      <c r="X946" s="143"/>
      <c r="Y946" s="143"/>
      <c r="Z946" s="143"/>
    </row>
    <row r="947" spans="1:26" ht="18.75">
      <c r="A947" s="143"/>
      <c r="B947" s="140"/>
      <c r="C947" s="141"/>
      <c r="D947" s="142"/>
      <c r="E947" s="142"/>
      <c r="F947" s="143"/>
      <c r="G947" s="152"/>
      <c r="H947" s="152"/>
      <c r="I947" s="143"/>
      <c r="J947" s="143"/>
      <c r="K947" s="143"/>
      <c r="L947" s="143"/>
      <c r="M947" s="143"/>
      <c r="N947" s="143"/>
      <c r="O947" s="143"/>
      <c r="P947" s="143"/>
      <c r="Q947" s="143"/>
      <c r="R947" s="143"/>
      <c r="S947" s="143"/>
      <c r="T947" s="143"/>
      <c r="U947" s="143"/>
      <c r="V947" s="143"/>
      <c r="W947" s="143"/>
      <c r="X947" s="143"/>
      <c r="Y947" s="143"/>
      <c r="Z947" s="143"/>
    </row>
    <row r="948" spans="1:26" ht="18.75">
      <c r="A948" s="143"/>
      <c r="B948" s="140"/>
      <c r="C948" s="141"/>
      <c r="D948" s="142"/>
      <c r="E948" s="142"/>
      <c r="F948" s="143"/>
      <c r="G948" s="150"/>
      <c r="H948" s="150"/>
      <c r="I948" s="143"/>
      <c r="J948" s="143"/>
      <c r="K948" s="143"/>
      <c r="L948" s="143"/>
      <c r="M948" s="143"/>
      <c r="N948" s="143"/>
      <c r="O948" s="143"/>
      <c r="P948" s="143"/>
      <c r="Q948" s="143"/>
      <c r="R948" s="143"/>
      <c r="S948" s="143"/>
      <c r="T948" s="143"/>
      <c r="U948" s="143"/>
      <c r="V948" s="143"/>
      <c r="W948" s="143"/>
      <c r="X948" s="143"/>
      <c r="Y948" s="143"/>
      <c r="Z948" s="143"/>
    </row>
    <row r="949" spans="1:26" ht="18.75">
      <c r="A949" s="143"/>
      <c r="B949" s="140"/>
      <c r="C949" s="141"/>
      <c r="D949" s="142"/>
      <c r="E949" s="142"/>
      <c r="F949" s="143"/>
      <c r="G949" s="152"/>
      <c r="H949" s="152"/>
      <c r="I949" s="143"/>
      <c r="J949" s="143"/>
      <c r="K949" s="143"/>
      <c r="L949" s="143"/>
      <c r="M949" s="143"/>
      <c r="N949" s="143"/>
      <c r="O949" s="143"/>
      <c r="P949" s="143"/>
      <c r="Q949" s="143"/>
      <c r="R949" s="143"/>
      <c r="S949" s="143"/>
      <c r="T949" s="143"/>
      <c r="U949" s="143"/>
      <c r="V949" s="143"/>
      <c r="W949" s="143"/>
      <c r="X949" s="143"/>
      <c r="Y949" s="143"/>
      <c r="Z949" s="143"/>
    </row>
    <row r="950" spans="1:26" ht="18.75">
      <c r="A950" s="143"/>
      <c r="B950" s="140"/>
      <c r="C950" s="141"/>
      <c r="D950" s="142"/>
      <c r="E950" s="142"/>
      <c r="F950" s="143"/>
      <c r="G950" s="150"/>
      <c r="H950" s="150"/>
      <c r="I950" s="143"/>
      <c r="J950" s="143"/>
      <c r="K950" s="143"/>
      <c r="L950" s="143"/>
      <c r="M950" s="143"/>
      <c r="N950" s="143"/>
      <c r="O950" s="143"/>
      <c r="P950" s="143"/>
      <c r="Q950" s="143"/>
      <c r="R950" s="143"/>
      <c r="S950" s="143"/>
      <c r="T950" s="143"/>
      <c r="U950" s="143"/>
      <c r="V950" s="143"/>
      <c r="W950" s="143"/>
      <c r="X950" s="143"/>
      <c r="Y950" s="143"/>
      <c r="Z950" s="143"/>
    </row>
    <row r="951" spans="1:26" ht="18.75">
      <c r="A951" s="143"/>
      <c r="B951" s="140"/>
      <c r="C951" s="141"/>
      <c r="D951" s="142"/>
      <c r="E951" s="142"/>
      <c r="F951" s="143"/>
      <c r="G951" s="152"/>
      <c r="H951" s="152"/>
      <c r="I951" s="143"/>
      <c r="J951" s="143"/>
      <c r="K951" s="143"/>
      <c r="L951" s="143"/>
      <c r="M951" s="143"/>
      <c r="N951" s="143"/>
      <c r="O951" s="143"/>
      <c r="P951" s="143"/>
      <c r="Q951" s="143"/>
      <c r="R951" s="143"/>
      <c r="S951" s="143"/>
      <c r="T951" s="143"/>
      <c r="U951" s="143"/>
      <c r="V951" s="143"/>
      <c r="W951" s="143"/>
      <c r="X951" s="143"/>
      <c r="Y951" s="143"/>
      <c r="Z951" s="143"/>
    </row>
    <row r="952" spans="1:26" ht="18.75">
      <c r="A952" s="143"/>
      <c r="B952" s="140"/>
      <c r="C952" s="141"/>
      <c r="D952" s="142"/>
      <c r="E952" s="142"/>
      <c r="F952" s="143"/>
      <c r="G952" s="150"/>
      <c r="H952" s="150"/>
      <c r="I952" s="143"/>
      <c r="J952" s="143"/>
      <c r="K952" s="143"/>
      <c r="L952" s="143"/>
      <c r="M952" s="143"/>
      <c r="N952" s="143"/>
      <c r="O952" s="143"/>
      <c r="P952" s="143"/>
      <c r="Q952" s="143"/>
      <c r="R952" s="143"/>
      <c r="S952" s="143"/>
      <c r="T952" s="143"/>
      <c r="U952" s="143"/>
      <c r="V952" s="143"/>
      <c r="W952" s="143"/>
      <c r="X952" s="143"/>
      <c r="Y952" s="143"/>
      <c r="Z952" s="143"/>
    </row>
    <row r="953" spans="1:26" ht="18.75">
      <c r="A953" s="143"/>
      <c r="B953" s="140"/>
      <c r="C953" s="141"/>
      <c r="D953" s="142"/>
      <c r="E953" s="142"/>
      <c r="F953" s="143"/>
      <c r="G953" s="152"/>
      <c r="H953" s="152"/>
      <c r="I953" s="143"/>
      <c r="J953" s="143"/>
      <c r="K953" s="143"/>
      <c r="L953" s="143"/>
      <c r="M953" s="143"/>
      <c r="N953" s="143"/>
      <c r="O953" s="143"/>
      <c r="P953" s="143"/>
      <c r="Q953" s="143"/>
      <c r="R953" s="143"/>
      <c r="S953" s="143"/>
      <c r="T953" s="143"/>
      <c r="U953" s="143"/>
      <c r="V953" s="143"/>
      <c r="W953" s="143"/>
      <c r="X953" s="143"/>
      <c r="Y953" s="143"/>
      <c r="Z953" s="143"/>
    </row>
    <row r="954" spans="1:26" ht="18.75">
      <c r="A954" s="143"/>
      <c r="B954" s="140"/>
      <c r="C954" s="141"/>
      <c r="D954" s="142"/>
      <c r="E954" s="142"/>
      <c r="F954" s="143"/>
      <c r="G954" s="150"/>
      <c r="H954" s="150"/>
      <c r="I954" s="143"/>
      <c r="J954" s="143"/>
      <c r="K954" s="143"/>
      <c r="L954" s="143"/>
      <c r="M954" s="143"/>
      <c r="N954" s="143"/>
      <c r="O954" s="143"/>
      <c r="P954" s="143"/>
      <c r="Q954" s="143"/>
      <c r="R954" s="143"/>
      <c r="S954" s="143"/>
      <c r="T954" s="143"/>
      <c r="U954" s="143"/>
      <c r="V954" s="143"/>
      <c r="W954" s="143"/>
      <c r="X954" s="143"/>
      <c r="Y954" s="143"/>
      <c r="Z954" s="143"/>
    </row>
    <row r="955" spans="1:26" ht="18.75">
      <c r="A955" s="143"/>
      <c r="B955" s="140"/>
      <c r="C955" s="141"/>
      <c r="D955" s="142"/>
      <c r="E955" s="142"/>
      <c r="F955" s="143"/>
      <c r="G955" s="152"/>
      <c r="H955" s="152"/>
      <c r="I955" s="143"/>
      <c r="J955" s="143"/>
      <c r="K955" s="143"/>
      <c r="L955" s="143"/>
      <c r="M955" s="143"/>
      <c r="N955" s="143"/>
      <c r="O955" s="143"/>
      <c r="P955" s="143"/>
      <c r="Q955" s="143"/>
      <c r="R955" s="143"/>
      <c r="S955" s="143"/>
      <c r="T955" s="143"/>
      <c r="U955" s="143"/>
      <c r="V955" s="143"/>
      <c r="W955" s="143"/>
      <c r="X955" s="143"/>
      <c r="Y955" s="143"/>
      <c r="Z955" s="143"/>
    </row>
    <row r="956" spans="1:26" ht="18.75">
      <c r="A956" s="143"/>
      <c r="B956" s="140"/>
      <c r="C956" s="141"/>
      <c r="D956" s="142"/>
      <c r="E956" s="142"/>
      <c r="F956" s="143"/>
      <c r="G956" s="150"/>
      <c r="H956" s="150"/>
      <c r="I956" s="143"/>
      <c r="J956" s="143"/>
      <c r="K956" s="143"/>
      <c r="L956" s="143"/>
      <c r="M956" s="143"/>
      <c r="N956" s="143"/>
      <c r="O956" s="143"/>
      <c r="P956" s="143"/>
      <c r="Q956" s="143"/>
      <c r="R956" s="143"/>
      <c r="S956" s="143"/>
      <c r="T956" s="143"/>
      <c r="U956" s="143"/>
      <c r="V956" s="143"/>
      <c r="W956" s="143"/>
      <c r="X956" s="143"/>
      <c r="Y956" s="143"/>
      <c r="Z956" s="143"/>
    </row>
    <row r="957" spans="1:26" ht="18.75">
      <c r="A957" s="143"/>
      <c r="B957" s="140"/>
      <c r="C957" s="141"/>
      <c r="D957" s="142"/>
      <c r="E957" s="142"/>
      <c r="F957" s="143"/>
      <c r="G957" s="152"/>
      <c r="H957" s="152"/>
      <c r="I957" s="143"/>
      <c r="J957" s="143"/>
      <c r="K957" s="143"/>
      <c r="L957" s="143"/>
      <c r="M957" s="143"/>
      <c r="N957" s="143"/>
      <c r="O957" s="143"/>
      <c r="P957" s="143"/>
      <c r="Q957" s="143"/>
      <c r="R957" s="143"/>
      <c r="S957" s="143"/>
      <c r="T957" s="143"/>
      <c r="U957" s="143"/>
      <c r="V957" s="143"/>
      <c r="W957" s="143"/>
      <c r="X957" s="143"/>
      <c r="Y957" s="143"/>
      <c r="Z957" s="143"/>
    </row>
    <row r="958" spans="1:26" ht="18.75">
      <c r="A958" s="143"/>
      <c r="B958" s="140"/>
      <c r="C958" s="141"/>
      <c r="D958" s="142"/>
      <c r="E958" s="142"/>
      <c r="F958" s="143"/>
      <c r="G958" s="150"/>
      <c r="H958" s="150"/>
      <c r="I958" s="143"/>
      <c r="J958" s="143"/>
      <c r="K958" s="143"/>
      <c r="L958" s="143"/>
      <c r="M958" s="143"/>
      <c r="N958" s="143"/>
      <c r="O958" s="143"/>
      <c r="P958" s="143"/>
      <c r="Q958" s="143"/>
      <c r="R958" s="143"/>
      <c r="S958" s="143"/>
      <c r="T958" s="143"/>
      <c r="U958" s="143"/>
      <c r="V958" s="143"/>
      <c r="W958" s="143"/>
      <c r="X958" s="143"/>
      <c r="Y958" s="143"/>
      <c r="Z958" s="143"/>
    </row>
    <row r="959" spans="1:26" ht="18.75">
      <c r="A959" s="143"/>
      <c r="B959" s="140"/>
      <c r="C959" s="141"/>
      <c r="D959" s="142"/>
      <c r="E959" s="142"/>
      <c r="F959" s="143"/>
      <c r="G959" s="152"/>
      <c r="H959" s="152"/>
      <c r="I959" s="143"/>
      <c r="J959" s="143"/>
      <c r="K959" s="143"/>
      <c r="L959" s="143"/>
      <c r="M959" s="143"/>
      <c r="N959" s="143"/>
      <c r="O959" s="143"/>
      <c r="P959" s="143"/>
      <c r="Q959" s="143"/>
      <c r="R959" s="143"/>
      <c r="S959" s="143"/>
      <c r="T959" s="143"/>
      <c r="U959" s="143"/>
      <c r="V959" s="143"/>
      <c r="W959" s="143"/>
      <c r="X959" s="143"/>
      <c r="Y959" s="143"/>
      <c r="Z959" s="143"/>
    </row>
    <row r="960" spans="1:26" ht="18.75">
      <c r="A960" s="143"/>
      <c r="B960" s="140"/>
      <c r="C960" s="141"/>
      <c r="D960" s="142"/>
      <c r="E960" s="142"/>
      <c r="F960" s="143"/>
      <c r="G960" s="150"/>
      <c r="H960" s="150"/>
      <c r="I960" s="143"/>
      <c r="J960" s="143"/>
      <c r="K960" s="143"/>
      <c r="L960" s="143"/>
      <c r="M960" s="143"/>
      <c r="N960" s="143"/>
      <c r="O960" s="143"/>
      <c r="P960" s="143"/>
      <c r="Q960" s="143"/>
      <c r="R960" s="143"/>
      <c r="S960" s="143"/>
      <c r="T960" s="143"/>
      <c r="U960" s="143"/>
      <c r="V960" s="143"/>
      <c r="W960" s="143"/>
      <c r="X960" s="143"/>
      <c r="Y960" s="143"/>
      <c r="Z960" s="143"/>
    </row>
    <row r="961" spans="1:26" ht="18.75">
      <c r="A961" s="143"/>
      <c r="B961" s="140"/>
      <c r="C961" s="141"/>
      <c r="D961" s="142"/>
      <c r="E961" s="142"/>
      <c r="F961" s="143"/>
      <c r="G961" s="152"/>
      <c r="H961" s="152"/>
      <c r="I961" s="143"/>
      <c r="J961" s="143"/>
      <c r="K961" s="143"/>
      <c r="L961" s="143"/>
      <c r="M961" s="143"/>
      <c r="N961" s="143"/>
      <c r="O961" s="143"/>
      <c r="P961" s="143"/>
      <c r="Q961" s="143"/>
      <c r="R961" s="143"/>
      <c r="S961" s="143"/>
      <c r="T961" s="143"/>
      <c r="U961" s="143"/>
      <c r="V961" s="143"/>
      <c r="W961" s="143"/>
      <c r="X961" s="143"/>
      <c r="Y961" s="143"/>
      <c r="Z961" s="143"/>
    </row>
    <row r="962" spans="1:26" ht="18.75">
      <c r="A962" s="143"/>
      <c r="B962" s="140"/>
      <c r="C962" s="141"/>
      <c r="D962" s="142"/>
      <c r="E962" s="142"/>
      <c r="F962" s="143"/>
      <c r="G962" s="150"/>
      <c r="H962" s="150"/>
      <c r="I962" s="143"/>
      <c r="J962" s="143"/>
      <c r="K962" s="143"/>
      <c r="L962" s="143"/>
      <c r="M962" s="143"/>
      <c r="N962" s="143"/>
      <c r="O962" s="143"/>
      <c r="P962" s="143"/>
      <c r="Q962" s="143"/>
      <c r="R962" s="143"/>
      <c r="S962" s="143"/>
      <c r="T962" s="143"/>
      <c r="U962" s="143"/>
      <c r="V962" s="143"/>
      <c r="W962" s="143"/>
      <c r="X962" s="143"/>
      <c r="Y962" s="143"/>
      <c r="Z962" s="143"/>
    </row>
    <row r="963" spans="1:26" ht="18.75">
      <c r="A963" s="143"/>
      <c r="B963" s="140"/>
      <c r="C963" s="141"/>
      <c r="D963" s="142"/>
      <c r="E963" s="142"/>
      <c r="F963" s="143"/>
      <c r="G963" s="152"/>
      <c r="H963" s="152"/>
      <c r="I963" s="143"/>
      <c r="J963" s="143"/>
      <c r="K963" s="143"/>
      <c r="L963" s="143"/>
      <c r="M963" s="143"/>
      <c r="N963" s="143"/>
      <c r="O963" s="143"/>
      <c r="P963" s="143"/>
      <c r="Q963" s="143"/>
      <c r="R963" s="143"/>
      <c r="S963" s="143"/>
      <c r="T963" s="143"/>
      <c r="U963" s="143"/>
      <c r="V963" s="143"/>
      <c r="W963" s="143"/>
      <c r="X963" s="143"/>
      <c r="Y963" s="143"/>
      <c r="Z963" s="143"/>
    </row>
    <row r="964" spans="1:26" ht="18.75">
      <c r="A964" s="143"/>
      <c r="B964" s="140"/>
      <c r="C964" s="141"/>
      <c r="D964" s="142"/>
      <c r="E964" s="142"/>
      <c r="F964" s="143"/>
      <c r="G964" s="150"/>
      <c r="H964" s="150"/>
      <c r="I964" s="143"/>
      <c r="J964" s="143"/>
      <c r="K964" s="143"/>
      <c r="L964" s="143"/>
      <c r="M964" s="143"/>
      <c r="N964" s="143"/>
      <c r="O964" s="143"/>
      <c r="P964" s="143"/>
      <c r="Q964" s="143"/>
      <c r="R964" s="143"/>
      <c r="S964" s="143"/>
      <c r="T964" s="143"/>
      <c r="U964" s="143"/>
      <c r="V964" s="143"/>
      <c r="W964" s="143"/>
      <c r="X964" s="143"/>
      <c r="Y964" s="143"/>
      <c r="Z964" s="143"/>
    </row>
    <row r="965" spans="1:26" ht="18.75">
      <c r="A965" s="143"/>
      <c r="B965" s="140"/>
      <c r="C965" s="141"/>
      <c r="D965" s="142"/>
      <c r="E965" s="142"/>
      <c r="F965" s="143"/>
      <c r="G965" s="152"/>
      <c r="H965" s="152"/>
      <c r="I965" s="143"/>
      <c r="J965" s="143"/>
      <c r="K965" s="143"/>
      <c r="L965" s="143"/>
      <c r="M965" s="143"/>
      <c r="N965" s="143"/>
      <c r="O965" s="143"/>
      <c r="P965" s="143"/>
      <c r="Q965" s="143"/>
      <c r="R965" s="143"/>
      <c r="S965" s="143"/>
      <c r="T965" s="143"/>
      <c r="U965" s="143"/>
      <c r="V965" s="143"/>
      <c r="W965" s="143"/>
      <c r="X965" s="143"/>
      <c r="Y965" s="143"/>
      <c r="Z965" s="143"/>
    </row>
    <row r="966" spans="1:26" ht="18.75">
      <c r="A966" s="143"/>
      <c r="B966" s="140"/>
      <c r="C966" s="141"/>
      <c r="D966" s="142"/>
      <c r="E966" s="142"/>
      <c r="F966" s="143"/>
      <c r="G966" s="150"/>
      <c r="H966" s="150"/>
      <c r="I966" s="143"/>
      <c r="J966" s="143"/>
      <c r="K966" s="143"/>
      <c r="L966" s="143"/>
      <c r="M966" s="143"/>
      <c r="N966" s="143"/>
      <c r="O966" s="143"/>
      <c r="P966" s="143"/>
      <c r="Q966" s="143"/>
      <c r="R966" s="143"/>
      <c r="S966" s="143"/>
      <c r="T966" s="143"/>
      <c r="U966" s="143"/>
      <c r="V966" s="143"/>
      <c r="W966" s="143"/>
      <c r="X966" s="143"/>
      <c r="Y966" s="143"/>
      <c r="Z966" s="143"/>
    </row>
    <row r="967" spans="1:26" ht="18.75">
      <c r="A967" s="143"/>
      <c r="B967" s="140"/>
      <c r="C967" s="141"/>
      <c r="D967" s="142"/>
      <c r="E967" s="142"/>
      <c r="F967" s="143"/>
      <c r="G967" s="152"/>
      <c r="H967" s="152"/>
      <c r="I967" s="143"/>
      <c r="J967" s="143"/>
      <c r="K967" s="143"/>
      <c r="L967" s="143"/>
      <c r="M967" s="143"/>
      <c r="N967" s="143"/>
      <c r="O967" s="143"/>
      <c r="P967" s="143"/>
      <c r="Q967" s="143"/>
      <c r="R967" s="143"/>
      <c r="S967" s="143"/>
      <c r="T967" s="143"/>
      <c r="U967" s="143"/>
      <c r="V967" s="143"/>
      <c r="W967" s="143"/>
      <c r="X967" s="143"/>
      <c r="Y967" s="143"/>
      <c r="Z967" s="143"/>
    </row>
    <row r="968" spans="1:26" ht="18.75">
      <c r="A968" s="143"/>
      <c r="B968" s="140"/>
      <c r="C968" s="141"/>
      <c r="D968" s="142"/>
      <c r="E968" s="142"/>
      <c r="F968" s="143"/>
      <c r="G968" s="150"/>
      <c r="H968" s="150"/>
      <c r="I968" s="143"/>
      <c r="J968" s="143"/>
      <c r="K968" s="143"/>
      <c r="L968" s="143"/>
      <c r="M968" s="143"/>
      <c r="N968" s="143"/>
      <c r="O968" s="143"/>
      <c r="P968" s="143"/>
      <c r="Q968" s="143"/>
      <c r="R968" s="143"/>
      <c r="S968" s="143"/>
      <c r="T968" s="143"/>
      <c r="U968" s="143"/>
      <c r="V968" s="143"/>
      <c r="W968" s="143"/>
      <c r="X968" s="143"/>
      <c r="Y968" s="143"/>
      <c r="Z968" s="143"/>
    </row>
    <row r="969" spans="1:26" ht="18.75">
      <c r="A969" s="143"/>
      <c r="B969" s="140"/>
      <c r="C969" s="141"/>
      <c r="D969" s="142"/>
      <c r="E969" s="142"/>
      <c r="F969" s="143"/>
      <c r="G969" s="152"/>
      <c r="H969" s="152"/>
      <c r="I969" s="143"/>
      <c r="J969" s="143"/>
      <c r="K969" s="143"/>
      <c r="L969" s="143"/>
      <c r="M969" s="143"/>
      <c r="N969" s="143"/>
      <c r="O969" s="143"/>
      <c r="P969" s="143"/>
      <c r="Q969" s="143"/>
      <c r="R969" s="143"/>
      <c r="S969" s="143"/>
      <c r="T969" s="143"/>
      <c r="U969" s="143"/>
      <c r="V969" s="143"/>
      <c r="W969" s="143"/>
      <c r="X969" s="143"/>
      <c r="Y969" s="143"/>
      <c r="Z969" s="143"/>
    </row>
    <row r="970" spans="1:26" ht="18.75">
      <c r="A970" s="143"/>
      <c r="B970" s="140"/>
      <c r="C970" s="141"/>
      <c r="D970" s="142"/>
      <c r="E970" s="142"/>
      <c r="F970" s="143"/>
      <c r="G970" s="150"/>
      <c r="H970" s="150"/>
      <c r="I970" s="143"/>
      <c r="J970" s="143"/>
      <c r="K970" s="143"/>
      <c r="L970" s="143"/>
      <c r="M970" s="143"/>
      <c r="N970" s="143"/>
      <c r="O970" s="143"/>
      <c r="P970" s="143"/>
      <c r="Q970" s="143"/>
      <c r="R970" s="143"/>
      <c r="S970" s="143"/>
      <c r="T970" s="143"/>
      <c r="U970" s="143"/>
      <c r="V970" s="143"/>
      <c r="W970" s="143"/>
      <c r="X970" s="143"/>
      <c r="Y970" s="143"/>
      <c r="Z970" s="143"/>
    </row>
    <row r="971" spans="1:26" ht="18.75">
      <c r="A971" s="143"/>
      <c r="B971" s="140"/>
      <c r="C971" s="141"/>
      <c r="D971" s="142"/>
      <c r="E971" s="142"/>
      <c r="F971" s="143"/>
      <c r="G971" s="152"/>
      <c r="H971" s="152"/>
      <c r="I971" s="143"/>
      <c r="J971" s="143"/>
      <c r="K971" s="143"/>
      <c r="L971" s="143"/>
      <c r="M971" s="143"/>
      <c r="N971" s="143"/>
      <c r="O971" s="143"/>
      <c r="P971" s="143"/>
      <c r="Q971" s="143"/>
      <c r="R971" s="143"/>
      <c r="S971" s="143"/>
      <c r="T971" s="143"/>
      <c r="U971" s="143"/>
      <c r="V971" s="143"/>
      <c r="W971" s="143"/>
      <c r="X971" s="143"/>
      <c r="Y971" s="143"/>
      <c r="Z971" s="143"/>
    </row>
    <row r="972" spans="1:26" ht="18.75">
      <c r="A972" s="143"/>
      <c r="B972" s="140"/>
      <c r="C972" s="141"/>
      <c r="D972" s="142"/>
      <c r="E972" s="142"/>
      <c r="F972" s="143"/>
      <c r="G972" s="150"/>
      <c r="H972" s="150"/>
      <c r="I972" s="143"/>
      <c r="J972" s="143"/>
      <c r="K972" s="143"/>
      <c r="L972" s="143"/>
      <c r="M972" s="143"/>
      <c r="N972" s="143"/>
      <c r="O972" s="143"/>
      <c r="P972" s="143"/>
      <c r="Q972" s="143"/>
      <c r="R972" s="143"/>
      <c r="S972" s="143"/>
      <c r="T972" s="143"/>
      <c r="U972" s="143"/>
      <c r="V972" s="143"/>
      <c r="W972" s="143"/>
      <c r="X972" s="143"/>
      <c r="Y972" s="143"/>
      <c r="Z972" s="143"/>
    </row>
    <row r="973" spans="1:26" ht="18.75">
      <c r="A973" s="143"/>
      <c r="B973" s="140"/>
      <c r="C973" s="141"/>
      <c r="D973" s="142"/>
      <c r="E973" s="142"/>
      <c r="F973" s="143"/>
      <c r="G973" s="152"/>
      <c r="H973" s="152"/>
      <c r="I973" s="143"/>
      <c r="J973" s="143"/>
      <c r="K973" s="143"/>
      <c r="L973" s="143"/>
      <c r="M973" s="143"/>
      <c r="N973" s="143"/>
      <c r="O973" s="143"/>
      <c r="P973" s="143"/>
      <c r="Q973" s="143"/>
      <c r="R973" s="143"/>
      <c r="S973" s="143"/>
      <c r="T973" s="143"/>
      <c r="U973" s="143"/>
      <c r="V973" s="143"/>
      <c r="W973" s="143"/>
      <c r="X973" s="143"/>
      <c r="Y973" s="143"/>
      <c r="Z973" s="143"/>
    </row>
    <row r="974" spans="1:26" ht="18.75">
      <c r="A974" s="143"/>
      <c r="B974" s="140"/>
      <c r="C974" s="141"/>
      <c r="D974" s="142"/>
      <c r="E974" s="142"/>
      <c r="F974" s="143"/>
      <c r="G974" s="150"/>
      <c r="H974" s="150"/>
      <c r="I974" s="143"/>
      <c r="J974" s="143"/>
      <c r="K974" s="143"/>
      <c r="L974" s="143"/>
      <c r="M974" s="143"/>
      <c r="N974" s="143"/>
      <c r="O974" s="143"/>
      <c r="P974" s="143"/>
      <c r="Q974" s="143"/>
      <c r="R974" s="143"/>
      <c r="S974" s="143"/>
      <c r="T974" s="143"/>
      <c r="U974" s="143"/>
      <c r="V974" s="143"/>
      <c r="W974" s="143"/>
      <c r="X974" s="143"/>
      <c r="Y974" s="143"/>
      <c r="Z974" s="143"/>
    </row>
    <row r="975" spans="1:26" ht="18.75">
      <c r="A975" s="143"/>
      <c r="B975" s="140"/>
      <c r="C975" s="141"/>
      <c r="D975" s="142"/>
      <c r="E975" s="142"/>
      <c r="F975" s="143"/>
      <c r="G975" s="152"/>
      <c r="H975" s="152"/>
      <c r="I975" s="143"/>
      <c r="J975" s="143"/>
      <c r="K975" s="143"/>
      <c r="L975" s="143"/>
      <c r="M975" s="143"/>
      <c r="N975" s="143"/>
      <c r="O975" s="143"/>
      <c r="P975" s="143"/>
      <c r="Q975" s="143"/>
      <c r="R975" s="143"/>
      <c r="S975" s="143"/>
      <c r="T975" s="143"/>
      <c r="U975" s="143"/>
      <c r="V975" s="143"/>
      <c r="W975" s="143"/>
      <c r="X975" s="143"/>
      <c r="Y975" s="143"/>
      <c r="Z975" s="143"/>
    </row>
    <row r="976" spans="1:26" ht="18.75">
      <c r="A976" s="143"/>
      <c r="B976" s="140"/>
      <c r="C976" s="141"/>
      <c r="D976" s="142"/>
      <c r="E976" s="142"/>
      <c r="F976" s="143"/>
      <c r="G976" s="150"/>
      <c r="H976" s="150"/>
      <c r="I976" s="143"/>
      <c r="J976" s="143"/>
      <c r="K976" s="143"/>
      <c r="L976" s="143"/>
      <c r="M976" s="143"/>
      <c r="N976" s="143"/>
      <c r="O976" s="143"/>
      <c r="P976" s="143"/>
      <c r="Q976" s="143"/>
      <c r="R976" s="143"/>
      <c r="S976" s="143"/>
      <c r="T976" s="143"/>
      <c r="U976" s="143"/>
      <c r="V976" s="143"/>
      <c r="W976" s="143"/>
      <c r="X976" s="143"/>
      <c r="Y976" s="143"/>
      <c r="Z976" s="143"/>
    </row>
    <row r="977" spans="1:26" ht="18.75">
      <c r="A977" s="143"/>
      <c r="B977" s="140"/>
      <c r="C977" s="141"/>
      <c r="D977" s="142"/>
      <c r="E977" s="142"/>
      <c r="F977" s="143"/>
      <c r="G977" s="152"/>
      <c r="H977" s="152"/>
      <c r="I977" s="143"/>
      <c r="J977" s="143"/>
      <c r="K977" s="143"/>
      <c r="L977" s="143"/>
      <c r="M977" s="143"/>
      <c r="N977" s="143"/>
      <c r="O977" s="143"/>
      <c r="P977" s="143"/>
      <c r="Q977" s="143"/>
      <c r="R977" s="143"/>
      <c r="S977" s="143"/>
      <c r="T977" s="143"/>
      <c r="U977" s="143"/>
      <c r="V977" s="143"/>
      <c r="W977" s="143"/>
      <c r="X977" s="143"/>
      <c r="Y977" s="143"/>
      <c r="Z977" s="143"/>
    </row>
    <row r="978" spans="1:26" ht="18.75">
      <c r="A978" s="143"/>
      <c r="B978" s="140"/>
      <c r="C978" s="141"/>
      <c r="D978" s="142"/>
      <c r="E978" s="142"/>
      <c r="F978" s="143"/>
      <c r="G978" s="150"/>
      <c r="H978" s="150"/>
      <c r="I978" s="143"/>
      <c r="J978" s="143"/>
      <c r="K978" s="143"/>
      <c r="L978" s="143"/>
      <c r="M978" s="143"/>
      <c r="N978" s="143"/>
      <c r="O978" s="143"/>
      <c r="P978" s="143"/>
      <c r="Q978" s="143"/>
      <c r="R978" s="143"/>
      <c r="S978" s="143"/>
      <c r="T978" s="143"/>
      <c r="U978" s="143"/>
      <c r="V978" s="143"/>
      <c r="W978" s="143"/>
      <c r="X978" s="143"/>
      <c r="Y978" s="143"/>
      <c r="Z978" s="143"/>
    </row>
    <row r="979" spans="1:26" ht="18.75">
      <c r="A979" s="143"/>
      <c r="B979" s="140"/>
      <c r="C979" s="141"/>
      <c r="D979" s="142"/>
      <c r="E979" s="142"/>
      <c r="F979" s="143"/>
      <c r="G979" s="152"/>
      <c r="H979" s="152"/>
      <c r="I979" s="143"/>
      <c r="J979" s="143"/>
      <c r="K979" s="143"/>
      <c r="L979" s="143"/>
      <c r="M979" s="143"/>
      <c r="N979" s="143"/>
      <c r="O979" s="143"/>
      <c r="P979" s="143"/>
      <c r="Q979" s="143"/>
      <c r="R979" s="143"/>
      <c r="S979" s="143"/>
      <c r="T979" s="143"/>
      <c r="U979" s="143"/>
      <c r="V979" s="143"/>
      <c r="W979" s="143"/>
      <c r="X979" s="143"/>
      <c r="Y979" s="143"/>
      <c r="Z979" s="143"/>
    </row>
    <row r="980" spans="1:26" ht="18.75">
      <c r="A980" s="143"/>
      <c r="B980" s="140"/>
      <c r="C980" s="141"/>
      <c r="D980" s="142"/>
      <c r="E980" s="142"/>
      <c r="F980" s="143"/>
      <c r="G980" s="150"/>
      <c r="H980" s="150"/>
      <c r="I980" s="143"/>
      <c r="J980" s="143"/>
      <c r="K980" s="143"/>
      <c r="L980" s="143"/>
      <c r="M980" s="143"/>
      <c r="N980" s="143"/>
      <c r="O980" s="143"/>
      <c r="P980" s="143"/>
      <c r="Q980" s="143"/>
      <c r="R980" s="143"/>
      <c r="S980" s="143"/>
      <c r="T980" s="143"/>
      <c r="U980" s="143"/>
      <c r="V980" s="143"/>
      <c r="W980" s="143"/>
      <c r="X980" s="143"/>
      <c r="Y980" s="143"/>
      <c r="Z980" s="143"/>
    </row>
    <row r="981" spans="1:26" ht="18.75">
      <c r="A981" s="143"/>
      <c r="B981" s="140"/>
      <c r="C981" s="141"/>
      <c r="D981" s="142"/>
      <c r="E981" s="142"/>
      <c r="F981" s="143"/>
      <c r="G981" s="152"/>
      <c r="H981" s="152"/>
      <c r="I981" s="143"/>
      <c r="J981" s="143"/>
      <c r="K981" s="143"/>
      <c r="L981" s="143"/>
      <c r="M981" s="143"/>
      <c r="N981" s="143"/>
      <c r="O981" s="143"/>
      <c r="P981" s="143"/>
      <c r="Q981" s="143"/>
      <c r="R981" s="143"/>
      <c r="S981" s="143"/>
      <c r="T981" s="143"/>
      <c r="U981" s="143"/>
      <c r="V981" s="143"/>
      <c r="W981" s="143"/>
      <c r="X981" s="143"/>
      <c r="Y981" s="143"/>
      <c r="Z981" s="143"/>
    </row>
    <row r="982" spans="1:26" ht="18.75">
      <c r="A982" s="143"/>
      <c r="B982" s="140"/>
      <c r="C982" s="141"/>
      <c r="D982" s="142"/>
      <c r="E982" s="142"/>
      <c r="F982" s="143"/>
      <c r="G982" s="150"/>
      <c r="H982" s="150"/>
      <c r="I982" s="143"/>
      <c r="J982" s="143"/>
      <c r="K982" s="143"/>
      <c r="L982" s="143"/>
      <c r="M982" s="143"/>
      <c r="N982" s="143"/>
      <c r="O982" s="143"/>
      <c r="P982" s="143"/>
      <c r="Q982" s="143"/>
      <c r="R982" s="143"/>
      <c r="S982" s="143"/>
      <c r="T982" s="143"/>
      <c r="U982" s="143"/>
      <c r="V982" s="143"/>
      <c r="W982" s="143"/>
      <c r="X982" s="143"/>
      <c r="Y982" s="143"/>
      <c r="Z982" s="143"/>
    </row>
    <row r="983" spans="1:26" ht="18.75">
      <c r="A983" s="143"/>
      <c r="B983" s="140"/>
      <c r="C983" s="141"/>
      <c r="D983" s="142"/>
      <c r="E983" s="142"/>
      <c r="F983" s="143"/>
      <c r="G983" s="152"/>
      <c r="H983" s="152"/>
      <c r="I983" s="143"/>
      <c r="J983" s="143"/>
      <c r="K983" s="143"/>
      <c r="L983" s="143"/>
      <c r="M983" s="143"/>
      <c r="N983" s="143"/>
      <c r="O983" s="143"/>
      <c r="P983" s="143"/>
      <c r="Q983" s="143"/>
      <c r="R983" s="143"/>
      <c r="S983" s="143"/>
      <c r="T983" s="143"/>
      <c r="U983" s="143"/>
      <c r="V983" s="143"/>
      <c r="W983" s="143"/>
      <c r="X983" s="143"/>
      <c r="Y983" s="143"/>
      <c r="Z983" s="143"/>
    </row>
    <row r="984" spans="1:26" ht="18.75">
      <c r="A984" s="143"/>
      <c r="B984" s="140"/>
      <c r="C984" s="141"/>
      <c r="D984" s="142"/>
      <c r="E984" s="142"/>
      <c r="F984" s="143"/>
      <c r="G984" s="150"/>
      <c r="H984" s="150"/>
      <c r="I984" s="143"/>
      <c r="J984" s="143"/>
      <c r="K984" s="143"/>
      <c r="L984" s="143"/>
      <c r="M984" s="143"/>
      <c r="N984" s="143"/>
      <c r="O984" s="143"/>
      <c r="P984" s="143"/>
      <c r="Q984" s="143"/>
      <c r="R984" s="143"/>
      <c r="S984" s="143"/>
      <c r="T984" s="143"/>
      <c r="U984" s="143"/>
      <c r="V984" s="143"/>
      <c r="W984" s="143"/>
      <c r="X984" s="143"/>
      <c r="Y984" s="143"/>
      <c r="Z984" s="143"/>
    </row>
    <row r="985" spans="1:26" ht="18.75">
      <c r="A985" s="143"/>
      <c r="B985" s="140"/>
      <c r="C985" s="141"/>
      <c r="D985" s="142"/>
      <c r="E985" s="142"/>
      <c r="F985" s="143"/>
      <c r="G985" s="152"/>
      <c r="H985" s="152"/>
      <c r="I985" s="143"/>
      <c r="J985" s="143"/>
      <c r="K985" s="143"/>
      <c r="L985" s="143"/>
      <c r="M985" s="143"/>
      <c r="N985" s="143"/>
      <c r="O985" s="143"/>
      <c r="P985" s="143"/>
      <c r="Q985" s="143"/>
      <c r="R985" s="143"/>
      <c r="S985" s="143"/>
      <c r="T985" s="143"/>
      <c r="U985" s="143"/>
      <c r="V985" s="143"/>
      <c r="W985" s="143"/>
      <c r="X985" s="143"/>
      <c r="Y985" s="143"/>
      <c r="Z985" s="143"/>
    </row>
    <row r="986" spans="1:26" ht="18.75">
      <c r="A986" s="143"/>
      <c r="B986" s="140"/>
      <c r="C986" s="141"/>
      <c r="D986" s="142"/>
      <c r="E986" s="142"/>
      <c r="F986" s="143"/>
      <c r="G986" s="150"/>
      <c r="H986" s="150"/>
      <c r="I986" s="143"/>
      <c r="J986" s="143"/>
      <c r="K986" s="143"/>
      <c r="L986" s="143"/>
      <c r="M986" s="143"/>
      <c r="N986" s="143"/>
      <c r="O986" s="143"/>
      <c r="P986" s="143"/>
      <c r="Q986" s="143"/>
      <c r="R986" s="143"/>
      <c r="S986" s="143"/>
      <c r="T986" s="143"/>
      <c r="U986" s="143"/>
      <c r="V986" s="143"/>
      <c r="W986" s="143"/>
      <c r="X986" s="143"/>
      <c r="Y986" s="143"/>
      <c r="Z986" s="143"/>
    </row>
    <row r="987" spans="1:26" ht="18.75">
      <c r="A987" s="143"/>
      <c r="B987" s="140"/>
      <c r="C987" s="141"/>
      <c r="D987" s="142"/>
      <c r="E987" s="142"/>
      <c r="F987" s="143"/>
      <c r="G987" s="152"/>
      <c r="H987" s="152"/>
      <c r="I987" s="143"/>
      <c r="J987" s="143"/>
      <c r="K987" s="143"/>
      <c r="L987" s="143"/>
      <c r="M987" s="143"/>
      <c r="N987" s="143"/>
      <c r="O987" s="143"/>
      <c r="P987" s="143"/>
      <c r="Q987" s="143"/>
      <c r="R987" s="143"/>
      <c r="S987" s="143"/>
      <c r="T987" s="143"/>
      <c r="U987" s="143"/>
      <c r="V987" s="143"/>
      <c r="W987" s="143"/>
      <c r="X987" s="143"/>
      <c r="Y987" s="143"/>
      <c r="Z987" s="143"/>
    </row>
    <row r="988" spans="1:26" ht="18.75">
      <c r="A988" s="143"/>
      <c r="B988" s="140"/>
      <c r="C988" s="141"/>
      <c r="D988" s="142"/>
      <c r="E988" s="142"/>
      <c r="F988" s="143"/>
      <c r="G988" s="150"/>
      <c r="H988" s="150"/>
      <c r="I988" s="143"/>
      <c r="J988" s="143"/>
      <c r="K988" s="143"/>
      <c r="L988" s="143"/>
      <c r="M988" s="143"/>
      <c r="N988" s="143"/>
      <c r="O988" s="143"/>
      <c r="P988" s="143"/>
      <c r="Q988" s="143"/>
      <c r="R988" s="143"/>
      <c r="S988" s="143"/>
      <c r="T988" s="143"/>
      <c r="U988" s="143"/>
      <c r="V988" s="143"/>
      <c r="W988" s="143"/>
      <c r="X988" s="143"/>
      <c r="Y988" s="143"/>
      <c r="Z988" s="143"/>
    </row>
    <row r="989" spans="1:26" ht="18.75">
      <c r="A989" s="143"/>
      <c r="B989" s="140"/>
      <c r="C989" s="141"/>
      <c r="D989" s="142"/>
      <c r="E989" s="142"/>
      <c r="F989" s="143"/>
      <c r="G989" s="152"/>
      <c r="H989" s="152"/>
      <c r="I989" s="143"/>
      <c r="J989" s="143"/>
      <c r="K989" s="143"/>
      <c r="L989" s="143"/>
      <c r="M989" s="143"/>
      <c r="N989" s="143"/>
      <c r="O989" s="143"/>
      <c r="P989" s="143"/>
      <c r="Q989" s="143"/>
      <c r="R989" s="143"/>
      <c r="S989" s="143"/>
      <c r="T989" s="143"/>
      <c r="U989" s="143"/>
      <c r="V989" s="143"/>
      <c r="W989" s="143"/>
      <c r="X989" s="143"/>
      <c r="Y989" s="143"/>
      <c r="Z989" s="143"/>
    </row>
    <row r="990" spans="1:26" ht="18.75">
      <c r="A990" s="143"/>
      <c r="B990" s="140"/>
      <c r="C990" s="141"/>
      <c r="D990" s="142"/>
      <c r="E990" s="142"/>
      <c r="F990" s="143"/>
      <c r="G990" s="150"/>
      <c r="H990" s="150"/>
      <c r="I990" s="143"/>
      <c r="J990" s="143"/>
      <c r="K990" s="143"/>
      <c r="L990" s="143"/>
      <c r="M990" s="143"/>
      <c r="N990" s="143"/>
      <c r="O990" s="143"/>
      <c r="P990" s="143"/>
      <c r="Q990" s="143"/>
      <c r="R990" s="143"/>
      <c r="S990" s="143"/>
      <c r="T990" s="143"/>
      <c r="U990" s="143"/>
      <c r="V990" s="143"/>
      <c r="W990" s="143"/>
      <c r="X990" s="143"/>
      <c r="Y990" s="143"/>
      <c r="Z990" s="143"/>
    </row>
    <row r="991" spans="1:26" ht="18.75">
      <c r="A991" s="143"/>
      <c r="B991" s="140"/>
      <c r="C991" s="141"/>
      <c r="D991" s="142"/>
      <c r="E991" s="142"/>
      <c r="F991" s="143"/>
      <c r="G991" s="152"/>
      <c r="H991" s="152"/>
      <c r="I991" s="143"/>
      <c r="J991" s="143"/>
      <c r="K991" s="143"/>
      <c r="L991" s="143"/>
      <c r="M991" s="143"/>
      <c r="N991" s="143"/>
      <c r="O991" s="143"/>
      <c r="P991" s="143"/>
      <c r="Q991" s="143"/>
      <c r="R991" s="143"/>
      <c r="S991" s="143"/>
      <c r="T991" s="143"/>
      <c r="U991" s="143"/>
      <c r="V991" s="143"/>
      <c r="W991" s="143"/>
      <c r="X991" s="143"/>
      <c r="Y991" s="143"/>
      <c r="Z991" s="143"/>
    </row>
    <row r="992" spans="1:26" ht="18.75">
      <c r="A992" s="143"/>
      <c r="B992" s="140"/>
      <c r="C992" s="141"/>
      <c r="D992" s="142"/>
      <c r="E992" s="142"/>
      <c r="F992" s="143"/>
      <c r="G992" s="150"/>
      <c r="H992" s="150"/>
      <c r="I992" s="143"/>
      <c r="J992" s="143"/>
      <c r="K992" s="143"/>
      <c r="L992" s="143"/>
      <c r="M992" s="143"/>
      <c r="N992" s="143"/>
      <c r="O992" s="143"/>
      <c r="P992" s="143"/>
      <c r="Q992" s="143"/>
      <c r="R992" s="143"/>
      <c r="S992" s="143"/>
      <c r="T992" s="143"/>
      <c r="U992" s="143"/>
      <c r="V992" s="143"/>
      <c r="W992" s="143"/>
      <c r="X992" s="143"/>
      <c r="Y992" s="143"/>
      <c r="Z992" s="143"/>
    </row>
    <row r="993" spans="1:26" ht="18.75">
      <c r="A993" s="143"/>
      <c r="B993" s="140"/>
      <c r="C993" s="141"/>
      <c r="D993" s="142"/>
      <c r="E993" s="142"/>
      <c r="F993" s="143"/>
      <c r="G993" s="152"/>
      <c r="H993" s="152"/>
      <c r="I993" s="143"/>
      <c r="J993" s="143"/>
      <c r="K993" s="143"/>
      <c r="L993" s="143"/>
      <c r="M993" s="143"/>
      <c r="N993" s="143"/>
      <c r="O993" s="143"/>
      <c r="P993" s="143"/>
      <c r="Q993" s="143"/>
      <c r="R993" s="143"/>
      <c r="S993" s="143"/>
      <c r="T993" s="143"/>
      <c r="U993" s="143"/>
      <c r="V993" s="143"/>
      <c r="W993" s="143"/>
      <c r="X993" s="143"/>
      <c r="Y993" s="143"/>
      <c r="Z993" s="143"/>
    </row>
    <row r="994" spans="1:26" ht="18.75">
      <c r="A994" s="143"/>
      <c r="B994" s="140"/>
      <c r="C994" s="141"/>
      <c r="D994" s="142"/>
      <c r="E994" s="142"/>
      <c r="F994" s="143"/>
      <c r="G994" s="150"/>
      <c r="H994" s="150"/>
      <c r="I994" s="143"/>
      <c r="J994" s="143"/>
      <c r="K994" s="143"/>
      <c r="L994" s="143"/>
      <c r="M994" s="143"/>
      <c r="N994" s="143"/>
      <c r="O994" s="143"/>
      <c r="P994" s="143"/>
      <c r="Q994" s="143"/>
      <c r="R994" s="143"/>
      <c r="S994" s="143"/>
      <c r="T994" s="143"/>
      <c r="U994" s="143"/>
      <c r="V994" s="143"/>
      <c r="W994" s="143"/>
      <c r="X994" s="143"/>
      <c r="Y994" s="143"/>
      <c r="Z994" s="143"/>
    </row>
    <row r="995" spans="1:26" ht="18.75">
      <c r="A995" s="143"/>
      <c r="B995" s="140"/>
      <c r="C995" s="141"/>
      <c r="D995" s="142"/>
      <c r="E995" s="142"/>
      <c r="F995" s="143"/>
      <c r="G995" s="152"/>
      <c r="H995" s="152"/>
      <c r="I995" s="143"/>
      <c r="J995" s="143"/>
      <c r="K995" s="143"/>
      <c r="L995" s="143"/>
      <c r="M995" s="143"/>
      <c r="N995" s="143"/>
      <c r="O995" s="143"/>
      <c r="P995" s="143"/>
      <c r="Q995" s="143"/>
      <c r="R995" s="143"/>
      <c r="S995" s="143"/>
      <c r="T995" s="143"/>
      <c r="U995" s="143"/>
      <c r="V995" s="143"/>
      <c r="W995" s="143"/>
      <c r="X995" s="143"/>
      <c r="Y995" s="143"/>
      <c r="Z995" s="143"/>
    </row>
    <row r="996" spans="1:26" ht="18.75">
      <c r="A996" s="143"/>
      <c r="B996" s="140"/>
      <c r="C996" s="141"/>
      <c r="D996" s="142"/>
      <c r="E996" s="142"/>
      <c r="F996" s="143"/>
      <c r="G996" s="150"/>
      <c r="H996" s="150"/>
      <c r="I996" s="143"/>
      <c r="J996" s="143"/>
      <c r="K996" s="143"/>
      <c r="L996" s="143"/>
      <c r="M996" s="143"/>
      <c r="N996" s="143"/>
      <c r="O996" s="143"/>
      <c r="P996" s="143"/>
      <c r="Q996" s="143"/>
      <c r="R996" s="143"/>
      <c r="S996" s="143"/>
      <c r="T996" s="143"/>
      <c r="U996" s="143"/>
      <c r="V996" s="143"/>
      <c r="W996" s="143"/>
      <c r="X996" s="143"/>
      <c r="Y996" s="143"/>
      <c r="Z996" s="143"/>
    </row>
    <row r="997" spans="1:26" ht="18.75">
      <c r="A997" s="143"/>
      <c r="B997" s="140"/>
      <c r="C997" s="141"/>
      <c r="D997" s="142"/>
      <c r="E997" s="142"/>
      <c r="F997" s="143"/>
      <c r="G997" s="152"/>
      <c r="H997" s="152"/>
      <c r="I997" s="143"/>
      <c r="J997" s="143"/>
      <c r="K997" s="143"/>
      <c r="L997" s="143"/>
      <c r="M997" s="143"/>
      <c r="N997" s="143"/>
      <c r="O997" s="143"/>
      <c r="P997" s="143"/>
      <c r="Q997" s="143"/>
      <c r="R997" s="143"/>
      <c r="S997" s="143"/>
      <c r="T997" s="143"/>
      <c r="U997" s="143"/>
      <c r="V997" s="143"/>
      <c r="W997" s="143"/>
      <c r="X997" s="143"/>
      <c r="Y997" s="143"/>
      <c r="Z997" s="143"/>
    </row>
    <row r="998" spans="1:26" ht="18.75">
      <c r="A998" s="143"/>
      <c r="B998" s="140"/>
      <c r="C998" s="141"/>
      <c r="D998" s="142"/>
      <c r="E998" s="142"/>
      <c r="F998" s="143"/>
      <c r="G998" s="150"/>
      <c r="H998" s="150"/>
      <c r="I998" s="143"/>
      <c r="J998" s="143"/>
      <c r="K998" s="143"/>
      <c r="L998" s="143"/>
      <c r="M998" s="143"/>
      <c r="N998" s="143"/>
      <c r="O998" s="143"/>
      <c r="P998" s="143"/>
      <c r="Q998" s="143"/>
      <c r="R998" s="143"/>
      <c r="S998" s="143"/>
      <c r="T998" s="143"/>
      <c r="U998" s="143"/>
      <c r="V998" s="143"/>
      <c r="W998" s="143"/>
      <c r="X998" s="143"/>
      <c r="Y998" s="143"/>
      <c r="Z998" s="143"/>
    </row>
    <row r="999" spans="1:26" ht="18.75">
      <c r="A999" s="143"/>
      <c r="B999" s="140"/>
      <c r="C999" s="141"/>
      <c r="D999" s="142"/>
      <c r="E999" s="142"/>
      <c r="F999" s="143"/>
      <c r="G999" s="152"/>
      <c r="H999" s="152"/>
      <c r="I999" s="143"/>
      <c r="J999" s="143"/>
      <c r="K999" s="143"/>
      <c r="L999" s="143"/>
      <c r="M999" s="143"/>
      <c r="N999" s="143"/>
      <c r="O999" s="143"/>
      <c r="P999" s="143"/>
      <c r="Q999" s="143"/>
      <c r="R999" s="143"/>
      <c r="S999" s="143"/>
      <c r="T999" s="143"/>
      <c r="U999" s="143"/>
      <c r="V999" s="143"/>
      <c r="W999" s="143"/>
      <c r="X999" s="143"/>
      <c r="Y999" s="143"/>
      <c r="Z999" s="143"/>
    </row>
    <row r="1000" spans="1:26" ht="18.75">
      <c r="A1000" s="143"/>
      <c r="B1000" s="140"/>
      <c r="C1000" s="141"/>
      <c r="D1000" s="142"/>
      <c r="E1000" s="142"/>
      <c r="F1000" s="143"/>
      <c r="G1000" s="150"/>
      <c r="H1000" s="150"/>
      <c r="I1000" s="143"/>
      <c r="J1000" s="143"/>
      <c r="K1000" s="143"/>
      <c r="L1000" s="143"/>
      <c r="M1000" s="143"/>
      <c r="N1000" s="143"/>
      <c r="O1000" s="143"/>
      <c r="P1000" s="143"/>
      <c r="Q1000" s="143"/>
      <c r="R1000" s="143"/>
      <c r="S1000" s="143"/>
      <c r="T1000" s="143"/>
      <c r="U1000" s="143"/>
      <c r="V1000" s="143"/>
      <c r="W1000" s="143"/>
      <c r="X1000" s="143"/>
      <c r="Y1000" s="143"/>
      <c r="Z1000" s="143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baseColWidth="10" defaultColWidth="14.42578125" defaultRowHeight="15" customHeight="1"/>
  <cols>
    <col min="2" max="2" width="45" customWidth="1"/>
    <col min="3" max="3" width="39.140625" customWidth="1"/>
  </cols>
  <sheetData>
    <row r="1" spans="1:26" ht="15" customHeight="1">
      <c r="A1" s="139" t="str">
        <f ca="1">IFERROR(__xludf.DUMMYFUNCTION("query(Subida!A1:Z1000,""select * where A='FIN' OR A='FIN/PROPÓSITO'"")"),"")</f>
        <v/>
      </c>
      <c r="B1" s="140" t="str">
        <f ca="1">IFERROR(__xludf.DUMMYFUNCTION("""COMPUTED_VALUE"""),"RESUMEN NARRATIVO")</f>
        <v>RESUMEN NARRATIVO</v>
      </c>
      <c r="C1" s="141" t="str">
        <f ca="1">IFERROR(__xludf.DUMMYFUNCTION("""COMPUTED_VALUE"""),"OBJETIVOS DE RESULTADO")</f>
        <v>OBJETIVOS DE RESULTADO</v>
      </c>
      <c r="D1" s="153" t="str">
        <f ca="1">IFERROR(__xludf.DUMMYFUNCTION("""COMPUTED_VALUE"""),"UNIDAD DE MEDIDA")</f>
        <v>UNIDAD DE MEDIDA</v>
      </c>
      <c r="E1" s="142" t="str">
        <f ca="1">IFERROR(__xludf.DUMMYFUNCTION("""COMPUTED_VALUE"""),"Acumulado")</f>
        <v>Acumulado</v>
      </c>
      <c r="F1" s="143" t="str">
        <f ca="1">IFERROR(__xludf.DUMMYFUNCTION("""COMPUTED_VALUE"""),"META PROGRAMADA")</f>
        <v>META PROGRAMADA</v>
      </c>
      <c r="G1" s="144" t="str">
        <f ca="1">IFERROR(__xludf.DUMMYFUNCTION("""COMPUTED_VALUE"""),"cOMENTARIO")</f>
        <v>cOMENTARIO</v>
      </c>
      <c r="H1" s="144" t="str">
        <f ca="1">IFERROR(__xludf.DUMMYFUNCTION("""COMPUTED_VALUE"""),"SUBIDA")</f>
        <v>SUBIDA</v>
      </c>
      <c r="I1" s="143" t="str">
        <f ca="1">IFERROR(__xludf.DUMMYFUNCTION("""COMPUTED_VALUE"""),"")</f>
        <v/>
      </c>
      <c r="J1" s="143" t="str">
        <f ca="1">IFERROR(__xludf.DUMMYFUNCTION("""COMPUTED_VALUE"""),"")</f>
        <v/>
      </c>
      <c r="K1" s="143" t="str">
        <f ca="1">IFERROR(__xludf.DUMMYFUNCTION("""COMPUTED_VALUE"""),"")</f>
        <v/>
      </c>
      <c r="L1" s="143" t="str">
        <f ca="1">IFERROR(__xludf.DUMMYFUNCTION("""COMPUTED_VALUE"""),"")</f>
        <v/>
      </c>
      <c r="M1" s="143" t="str">
        <f ca="1">IFERROR(__xludf.DUMMYFUNCTION("""COMPUTED_VALUE"""),"")</f>
        <v/>
      </c>
      <c r="N1" s="143" t="str">
        <f ca="1">IFERROR(__xludf.DUMMYFUNCTION("""COMPUTED_VALUE"""),"")</f>
        <v/>
      </c>
      <c r="O1" s="143" t="str">
        <f ca="1">IFERROR(__xludf.DUMMYFUNCTION("""COMPUTED_VALUE"""),"")</f>
        <v/>
      </c>
      <c r="P1" s="143" t="str">
        <f ca="1">IFERROR(__xludf.DUMMYFUNCTION("""COMPUTED_VALUE"""),"")</f>
        <v/>
      </c>
      <c r="Q1" s="143" t="str">
        <f ca="1">IFERROR(__xludf.DUMMYFUNCTION("""COMPUTED_VALUE"""),"")</f>
        <v/>
      </c>
      <c r="R1" s="143" t="str">
        <f ca="1">IFERROR(__xludf.DUMMYFUNCTION("""COMPUTED_VALUE"""),"")</f>
        <v/>
      </c>
      <c r="S1" s="143" t="str">
        <f ca="1">IFERROR(__xludf.DUMMYFUNCTION("""COMPUTED_VALUE"""),"")</f>
        <v/>
      </c>
      <c r="T1" s="143" t="str">
        <f ca="1">IFERROR(__xludf.DUMMYFUNCTION("""COMPUTED_VALUE"""),"")</f>
        <v/>
      </c>
      <c r="U1" s="143" t="str">
        <f ca="1">IFERROR(__xludf.DUMMYFUNCTION("""COMPUTED_VALUE"""),"")</f>
        <v/>
      </c>
      <c r="V1" s="143" t="str">
        <f ca="1">IFERROR(__xludf.DUMMYFUNCTION("""COMPUTED_VALUE"""),"")</f>
        <v/>
      </c>
      <c r="W1" s="143" t="str">
        <f ca="1">IFERROR(__xludf.DUMMYFUNCTION("""COMPUTED_VALUE"""),"")</f>
        <v/>
      </c>
      <c r="X1" s="143" t="str">
        <f ca="1">IFERROR(__xludf.DUMMYFUNCTION("""COMPUTED_VALUE"""),"")</f>
        <v/>
      </c>
      <c r="Y1" s="143" t="str">
        <f ca="1">IFERROR(__xludf.DUMMYFUNCTION("""COMPUTED_VALUE"""),"")</f>
        <v/>
      </c>
      <c r="Z1" s="143" t="str">
        <f ca="1">IFERROR(__xludf.DUMMYFUNCTION("""COMPUTED_VALUE"""),"")</f>
        <v/>
      </c>
    </row>
    <row r="2" spans="1:26" ht="15" customHeight="1">
      <c r="A2" s="143" t="str">
        <f ca="1">IFERROR(__xludf.DUMMYFUNCTION("""COMPUTED_VALUE"""),"FIN")</f>
        <v>FIN</v>
      </c>
      <c r="B2" s="140" t="str">
        <f ca="1">IFERROR(__xludf.DUMMYFUNCTION("""COMPUTED_VALUE"""),"ACTIVIDAD 1.1")</f>
        <v>ACTIVIDAD 1.1</v>
      </c>
      <c r="C2" s="141" t="str">
        <f ca="1">IFERROR(__xludf.DUMMYFUNCTION("""COMPUTED_VALUE"""),"Apoyos asistenciales entregados a la población vulnerable que radica en la municipalidad de Guadalajara y en tránsito en el programa de Trabajo Social Asistencial durante el 2023")</f>
        <v>Apoyos asistenciales entregados a la población vulnerable que radica en la municipalidad de Guadalajara y en tránsito en el programa de Trabajo Social Asistencial durante el 2023</v>
      </c>
      <c r="D2" s="153" t="str">
        <f ca="1">IFERROR(__xludf.DUMMYFUNCTION("""COMPUTED_VALUE"""),"Porcentaje")</f>
        <v>Porcentaje</v>
      </c>
      <c r="E2" s="142">
        <f ca="1">IFERROR(__xludf.DUMMYFUNCTION("""COMPUTED_VALUE"""),463)</f>
        <v>463</v>
      </c>
      <c r="F2" s="143">
        <f ca="1">IFERROR(__xludf.DUMMYFUNCTION("""COMPUTED_VALUE"""),7450)</f>
        <v>7450</v>
      </c>
      <c r="G2" s="145" t="str">
        <f ca="1">IFERROR(__xludf.DUMMYFUNCTION("""COMPUTED_VALUE"""),"Sin comentarios")</f>
        <v>Sin comentarios</v>
      </c>
      <c r="H2" s="146" t="b">
        <f ca="1">IFERROR(__xludf.DUMMYFUNCTION("""COMPUTED_VALUE"""),TRUE)</f>
        <v>1</v>
      </c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</row>
    <row r="3" spans="1:26" ht="15" customHeight="1">
      <c r="A3" s="143" t="str">
        <f ca="1">IFERROR(__xludf.DUMMYFUNCTION("""COMPUTED_VALUE"""),"FIN/PROPÓSITO")</f>
        <v>FIN/PROPÓSITO</v>
      </c>
      <c r="B3" s="140" t="str">
        <f ca="1">IFERROR(__xludf.DUMMYFUNCTION("""COMPUTED_VALUE"""),"ACTIVIDAD 1.3")</f>
        <v>ACTIVIDAD 1.3</v>
      </c>
      <c r="C3" s="141" t="str">
        <f ca="1">IFERROR(__xludf.DUMMYFUNCTION("""COMPUTED_VALUE"""),"Servicios médicos de atención y prevención de primer nivel brindados, durante el 2023")</f>
        <v>Servicios médicos de atención y prevención de primer nivel brindados, durante el 2023</v>
      </c>
      <c r="D3" s="153" t="str">
        <f ca="1">IFERROR(__xludf.DUMMYFUNCTION("""COMPUTED_VALUE"""),"Porcentaje")</f>
        <v>Porcentaje</v>
      </c>
      <c r="E3" s="142">
        <f ca="1">IFERROR(__xludf.DUMMYFUNCTION("""COMPUTED_VALUE"""),3448)</f>
        <v>3448</v>
      </c>
      <c r="F3" s="143">
        <f ca="1">IFERROR(__xludf.DUMMYFUNCTION("""COMPUTED_VALUE"""),5000)</f>
        <v>5000</v>
      </c>
      <c r="G3" s="145" t="str">
        <f ca="1">IFERROR(__xludf.DUMMYFUNCTION("""COMPUTED_VALUE"""),"Sin comentarios")</f>
        <v>Sin comentarios</v>
      </c>
      <c r="H3" s="147" t="b">
        <f ca="1">IFERROR(__xludf.DUMMYFUNCTION("""COMPUTED_VALUE"""),TRUE)</f>
        <v>1</v>
      </c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</row>
    <row r="4" spans="1:26" ht="15" customHeight="1">
      <c r="A4" s="143" t="str">
        <f ca="1">IFERROR(__xludf.DUMMYFUNCTION("""COMPUTED_VALUE"""),"FIN")</f>
        <v>FIN</v>
      </c>
      <c r="B4" s="140" t="str">
        <f ca="1">IFERROR(__xludf.DUMMYFUNCTION("""COMPUTED_VALUE"""),"ACTIVIDAD 1.4")</f>
        <v>ACTIVIDAD 1.4</v>
      </c>
      <c r="C4" s="141" t="str">
        <f ca="1">IFERROR(__xludf.DUMMYFUNCTION("""COMPUTED_VALUE"""),"Alimentos nutritivos e inocuos entregados a la población con inseguridad alimentaria en el municipio de Guadalajara, durante el 2023")</f>
        <v>Alimentos nutritivos e inocuos entregados a la población con inseguridad alimentaria en el municipio de Guadalajara, durante el 2023</v>
      </c>
      <c r="D4" s="153" t="str">
        <f ca="1">IFERROR(__xludf.DUMMYFUNCTION("""COMPUTED_VALUE"""),"Porcentaje")</f>
        <v>Porcentaje</v>
      </c>
      <c r="E4" s="142">
        <f ca="1">IFERROR(__xludf.DUMMYFUNCTION("""COMPUTED_VALUE"""),7578)</f>
        <v>7578</v>
      </c>
      <c r="F4" s="143">
        <f ca="1">IFERROR(__xludf.DUMMYFUNCTION("""COMPUTED_VALUE"""),8791)</f>
        <v>8791</v>
      </c>
      <c r="G4" s="145" t="str">
        <f ca="1">IFERROR(__xludf.DUMMYFUNCTION("""COMPUTED_VALUE"""),"Sin comentarios")</f>
        <v>Sin comentarios</v>
      </c>
      <c r="H4" s="148" t="b">
        <f ca="1">IFERROR(__xludf.DUMMYFUNCTION("""COMPUTED_VALUE"""),TRUE)</f>
        <v>1</v>
      </c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</row>
    <row r="5" spans="1:26" ht="15" customHeight="1">
      <c r="A5" s="143" t="str">
        <f ca="1">IFERROR(__xludf.DUMMYFUNCTION("""COMPUTED_VALUE"""),"FIN/PROPÓSITO")</f>
        <v>FIN/PROPÓSITO</v>
      </c>
      <c r="B5" s="140" t="str">
        <f ca="1">IFERROR(__xludf.DUMMYFUNCTION("""COMPUTED_VALUE"""),"ACTIVIDAD 1.8")</f>
        <v>ACTIVIDAD 1.8</v>
      </c>
      <c r="C5" s="141" t="str">
        <f ca="1">IFERROR(__xludf.DUMMYFUNCTION("""COMPUTED_VALUE"""),"Prácticas de autocuidado, prevención y atención a la salud bucal y maxilofacial a través de los servicios otorgados, durante el 2023")</f>
        <v>Prácticas de autocuidado, prevención y atención a la salud bucal y maxilofacial a través de los servicios otorgados, durante el 2023</v>
      </c>
      <c r="D5" s="153" t="str">
        <f ca="1">IFERROR(__xludf.DUMMYFUNCTION("""COMPUTED_VALUE"""),"Porcentaje")</f>
        <v>Porcentaje</v>
      </c>
      <c r="E5" s="142">
        <f ca="1">IFERROR(__xludf.DUMMYFUNCTION("""COMPUTED_VALUE"""),1940)</f>
        <v>1940</v>
      </c>
      <c r="F5" s="143">
        <f ca="1">IFERROR(__xludf.DUMMYFUNCTION("""COMPUTED_VALUE"""),6000)</f>
        <v>6000</v>
      </c>
      <c r="G5" s="145" t="str">
        <f ca="1">IFERROR(__xludf.DUMMYFUNCTION("""COMPUTED_VALUE"""),"Sin comentarios")</f>
        <v>Sin comentarios</v>
      </c>
      <c r="H5" s="149" t="b">
        <f ca="1">IFERROR(__xludf.DUMMYFUNCTION("""COMPUTED_VALUE"""),TRUE)</f>
        <v>1</v>
      </c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</row>
    <row r="6" spans="1:26" ht="15" customHeight="1">
      <c r="A6" s="143" t="str">
        <f ca="1">IFERROR(__xludf.DUMMYFUNCTION("""COMPUTED_VALUE"""),"FIN")</f>
        <v>FIN</v>
      </c>
      <c r="B6" s="140" t="str">
        <f ca="1">IFERROR(__xludf.DUMMYFUNCTION("""COMPUTED_VALUE"""),"ACTIVIDAD 1.9")</f>
        <v>ACTIVIDAD 1.9</v>
      </c>
      <c r="C6" s="141" t="str">
        <f ca="1">IFERROR(__xludf.DUMMYFUNCTION("""COMPUTED_VALUE"""),"Personas en situación de vulnerabilidad que recibieron atención psicológica en CDC, y CAETF en 2023")</f>
        <v>Personas en situación de vulnerabilidad que recibieron atención psicológica en CDC, y CAETF en 2023</v>
      </c>
      <c r="D6" s="153" t="str">
        <f ca="1">IFERROR(__xludf.DUMMYFUNCTION("""COMPUTED_VALUE"""),"Promedio")</f>
        <v>Promedio</v>
      </c>
      <c r="E6" s="142">
        <f ca="1">IFERROR(__xludf.DUMMYFUNCTION("""COMPUTED_VALUE"""),2292)</f>
        <v>2292</v>
      </c>
      <c r="F6" s="143">
        <f ca="1">IFERROR(__xludf.DUMMYFUNCTION("""COMPUTED_VALUE"""),850)</f>
        <v>850</v>
      </c>
      <c r="G6" s="154" t="str">
        <f ca="1">IFERROR(__xludf.DUMMYFUNCTION("""COMPUTED_VALUE"""),"764")</f>
        <v>764</v>
      </c>
      <c r="H6" s="146" t="b">
        <f ca="1">IFERROR(__xludf.DUMMYFUNCTION("""COMPUTED_VALUE"""),TRUE)</f>
        <v>1</v>
      </c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</row>
    <row r="7" spans="1:26" ht="15" customHeight="1">
      <c r="A7" s="143" t="str">
        <f ca="1">IFERROR(__xludf.DUMMYFUNCTION("""COMPUTED_VALUE"""),"FIN")</f>
        <v>FIN</v>
      </c>
      <c r="B7" s="140" t="str">
        <f ca="1">IFERROR(__xludf.DUMMYFUNCTION("""COMPUTED_VALUE"""),"ACTIVIDAD 1.12")</f>
        <v>ACTIVIDAD 1.12</v>
      </c>
      <c r="C7" s="141" t="str">
        <f ca="1">IFERROR(__xludf.DUMMYFUNCTION("""COMPUTED_VALUE"""),"Usuarios y usuarias recibieron raciones alimenticias en los comedores comunitarios, durante el 2023")</f>
        <v>Usuarios y usuarias recibieron raciones alimenticias en los comedores comunitarios, durante el 2023</v>
      </c>
      <c r="D7" s="153" t="str">
        <f ca="1">IFERROR(__xludf.DUMMYFUNCTION("""COMPUTED_VALUE"""),"Promedio")</f>
        <v>Promedio</v>
      </c>
      <c r="E7" s="142">
        <f ca="1">IFERROR(__xludf.DUMMYFUNCTION("""COMPUTED_VALUE"""),1530)</f>
        <v>1530</v>
      </c>
      <c r="F7" s="143">
        <f ca="1">IFERROR(__xludf.DUMMYFUNCTION("""COMPUTED_VALUE"""),500)</f>
        <v>500</v>
      </c>
      <c r="G7" s="154" t="str">
        <f ca="1">IFERROR(__xludf.DUMMYFUNCTION("""COMPUTED_VALUE"""),"510")</f>
        <v>510</v>
      </c>
      <c r="H7" s="149" t="b">
        <f ca="1">IFERROR(__xludf.DUMMYFUNCTION("""COMPUTED_VALUE"""),TRUE)</f>
        <v>1</v>
      </c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</row>
    <row r="8" spans="1:26" ht="15" customHeight="1">
      <c r="A8" s="143" t="str">
        <f ca="1">IFERROR(__xludf.DUMMYFUNCTION("""COMPUTED_VALUE"""),"FIN")</f>
        <v>FIN</v>
      </c>
      <c r="B8" s="140" t="str">
        <f ca="1">IFERROR(__xludf.DUMMYFUNCTION("""COMPUTED_VALUE"""),"ACTIVIDAD 1.14")</f>
        <v>ACTIVIDAD 1.14</v>
      </c>
      <c r="C8" s="141" t="str">
        <f ca="1">IFERROR(__xludf.DUMMYFUNCTION("""COMPUTED_VALUE"""),"Usuarios que asistieron a talleres y cursos realizados en CDC e ICAS trimestralmente en 2023")</f>
        <v>Usuarios que asistieron a talleres y cursos realizados en CDC e ICAS trimestralmente en 2023</v>
      </c>
      <c r="D8" s="153" t="str">
        <f ca="1">IFERROR(__xludf.DUMMYFUNCTION("""COMPUTED_VALUE"""),"Promedio")</f>
        <v>Promedio</v>
      </c>
      <c r="E8" s="142">
        <f ca="1">IFERROR(__xludf.DUMMYFUNCTION("""COMPUTED_VALUE"""),5082)</f>
        <v>5082</v>
      </c>
      <c r="F8" s="143">
        <f ca="1">IFERROR(__xludf.DUMMYFUNCTION("""COMPUTED_VALUE"""),1300)</f>
        <v>1300</v>
      </c>
      <c r="G8" s="154" t="str">
        <f ca="1">IFERROR(__xludf.DUMMYFUNCTION("""COMPUTED_VALUE"""),"1694")</f>
        <v>1694</v>
      </c>
      <c r="H8" s="146" t="b">
        <f ca="1">IFERROR(__xludf.DUMMYFUNCTION("""COMPUTED_VALUE"""),TRUE)</f>
        <v>1</v>
      </c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</row>
    <row r="9" spans="1:26" ht="15" customHeight="1">
      <c r="A9" s="143" t="str">
        <f ca="1">IFERROR(__xludf.DUMMYFUNCTION("""COMPUTED_VALUE"""),"FIN")</f>
        <v>FIN</v>
      </c>
      <c r="B9" s="140" t="str">
        <f ca="1">IFERROR(__xludf.DUMMYFUNCTION("""COMPUTED_VALUE"""),"ACTIVIDAD 1.16")</f>
        <v>ACTIVIDAD 1.16</v>
      </c>
      <c r="C9" s="141" t="str">
        <f ca="1">IFERROR(__xludf.DUMMYFUNCTION("""COMPUTED_VALUE"""),"Niñas y niños en condición de vulnerabilidad económica que terminaron ciclo escolar de nivel preescolar en 2023")</f>
        <v>Niñas y niños en condición de vulnerabilidad económica que terminaron ciclo escolar de nivel preescolar en 2023</v>
      </c>
      <c r="D9" s="153" t="str">
        <f ca="1">IFERROR(__xludf.DUMMYFUNCTION("""COMPUTED_VALUE"""),"Porcentaje")</f>
        <v>Porcentaje</v>
      </c>
      <c r="E9" s="142">
        <f ca="1">IFERROR(__xludf.DUMMYFUNCTION("""COMPUTED_VALUE"""),0)</f>
        <v>0</v>
      </c>
      <c r="F9" s="143">
        <f ca="1">IFERROR(__xludf.DUMMYFUNCTION("""COMPUTED_VALUE"""),2030)</f>
        <v>2030</v>
      </c>
      <c r="G9" s="145" t="str">
        <f ca="1">IFERROR(__xludf.DUMMYFUNCTION("""COMPUTED_VALUE"""),"Sin comentarios")</f>
        <v>Sin comentarios</v>
      </c>
      <c r="H9" s="149" t="b">
        <f ca="1">IFERROR(__xludf.DUMMYFUNCTION("""COMPUTED_VALUE"""),TRUE)</f>
        <v>1</v>
      </c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</row>
    <row r="10" spans="1:26" ht="15" customHeight="1">
      <c r="A10" s="143" t="str">
        <f ca="1">IFERROR(__xludf.DUMMYFUNCTION("""COMPUTED_VALUE"""),"FIN")</f>
        <v>FIN</v>
      </c>
      <c r="B10" s="140" t="str">
        <f ca="1">IFERROR(__xludf.DUMMYFUNCTION("""COMPUTED_VALUE"""),"COMPONENTE 2")</f>
        <v>COMPONENTE 2</v>
      </c>
      <c r="C10" s="141" t="str">
        <f ca="1">IFERROR(__xludf.DUMMYFUNCTION("""COMPUTED_VALUE"""),"Apoyos asistenciales entregados a población en situación de emergencia, durante el 2023")</f>
        <v>Apoyos asistenciales entregados a población en situación de emergencia, durante el 2023</v>
      </c>
      <c r="D10" s="153" t="str">
        <f ca="1">IFERROR(__xludf.DUMMYFUNCTION("""COMPUTED_VALUE"""),"Porcentaje")</f>
        <v>Porcentaje</v>
      </c>
      <c r="E10" s="142">
        <f ca="1">IFERROR(__xludf.DUMMYFUNCTION("""COMPUTED_VALUE"""),33)</f>
        <v>33</v>
      </c>
      <c r="F10" s="143">
        <f ca="1">IFERROR(__xludf.DUMMYFUNCTION("""COMPUTED_VALUE"""),5000)</f>
        <v>5000</v>
      </c>
      <c r="G10" s="145" t="str">
        <f ca="1">IFERROR(__xludf.DUMMYFUNCTION("""COMPUTED_VALUE"""),"Sin comentarios")</f>
        <v>Sin comentarios</v>
      </c>
      <c r="H10" s="146" t="b">
        <f ca="1">IFERROR(__xludf.DUMMYFUNCTION("""COMPUTED_VALUE"""),TRUE)</f>
        <v>1</v>
      </c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</row>
    <row r="11" spans="1:26" ht="15" customHeight="1">
      <c r="A11" s="143" t="str">
        <f ca="1">IFERROR(__xludf.DUMMYFUNCTION("""COMPUTED_VALUE"""),"FIN")</f>
        <v>FIN</v>
      </c>
      <c r="B11" s="140" t="str">
        <f ca="1">IFERROR(__xludf.DUMMYFUNCTION("""COMPUTED_VALUE"""),"ACTIVIDAD 3.1")</f>
        <v>ACTIVIDAD 3.1</v>
      </c>
      <c r="C11" s="141" t="str">
        <f ca="1">IFERROR(__xludf.DUMMYFUNCTION("""COMPUTED_VALUE"""),"Aperturas de expedientes para la atención multidisciplinaria primaria realizadas a las personas que viven y/o ejercen violencia familiar en el Municipio de Guadalajara, durante el 2023")</f>
        <v>Aperturas de expedientes para la atención multidisciplinaria primaria realizadas a las personas que viven y/o ejercen violencia familiar en el Municipio de Guadalajara, durante el 2023</v>
      </c>
      <c r="D11" s="153" t="str">
        <f ca="1">IFERROR(__xludf.DUMMYFUNCTION("""COMPUTED_VALUE"""),"Porcentaje")</f>
        <v>Porcentaje</v>
      </c>
      <c r="E11" s="142">
        <f ca="1">IFERROR(__xludf.DUMMYFUNCTION("""COMPUTED_VALUE"""),178)</f>
        <v>178</v>
      </c>
      <c r="F11" s="143">
        <f ca="1">IFERROR(__xludf.DUMMYFUNCTION("""COMPUTED_VALUE"""),700)</f>
        <v>700</v>
      </c>
      <c r="G11" s="145" t="str">
        <f ca="1">IFERROR(__xludf.DUMMYFUNCTION("""COMPUTED_VALUE"""),"Sin comentarios")</f>
        <v>Sin comentarios</v>
      </c>
      <c r="H11" s="149" t="b">
        <f ca="1">IFERROR(__xludf.DUMMYFUNCTION("""COMPUTED_VALUE"""),TRUE)</f>
        <v>1</v>
      </c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</row>
    <row r="12" spans="1:26" ht="15" customHeight="1">
      <c r="A12" s="143" t="str">
        <f ca="1">IFERROR(__xludf.DUMMYFUNCTION("""COMPUTED_VALUE"""),"FIN")</f>
        <v>FIN</v>
      </c>
      <c r="B12" s="140" t="str">
        <f ca="1">IFERROR(__xludf.DUMMYFUNCTION("""COMPUTED_VALUE"""),"ACTIVIDAD 4.1")</f>
        <v>ACTIVIDAD 4.1</v>
      </c>
      <c r="C12" s="141" t="str">
        <f ca="1">IFERROR(__xludf.DUMMYFUNCTION("""COMPUTED_VALUE"""),"Acompañamientos psicosociales para familiares de víctimas indirectas de desaparición brindadas, durante el 2023")</f>
        <v>Acompañamientos psicosociales para familiares de víctimas indirectas de desaparición brindadas, durante el 2023</v>
      </c>
      <c r="D12" s="153" t="str">
        <f ca="1">IFERROR(__xludf.DUMMYFUNCTION("""COMPUTED_VALUE"""),"Promedio")</f>
        <v>Promedio</v>
      </c>
      <c r="E12" s="142">
        <f ca="1">IFERROR(__xludf.DUMMYFUNCTION("""COMPUTED_VALUE"""),243)</f>
        <v>243</v>
      </c>
      <c r="F12" s="143">
        <f ca="1">IFERROR(__xludf.DUMMYFUNCTION("""COMPUTED_VALUE"""),110)</f>
        <v>110</v>
      </c>
      <c r="G12" s="154" t="str">
        <f ca="1">IFERROR(__xludf.DUMMYFUNCTION("""COMPUTED_VALUE"""),"81")</f>
        <v>81</v>
      </c>
      <c r="H12" s="146" t="b">
        <f ca="1">IFERROR(__xludf.DUMMYFUNCTION("""COMPUTED_VALUE"""),TRUE)</f>
        <v>1</v>
      </c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</row>
    <row r="13" spans="1:26" ht="15" customHeight="1">
      <c r="A13" s="143"/>
      <c r="B13" s="140"/>
      <c r="C13" s="141"/>
      <c r="D13" s="153"/>
      <c r="E13" s="142"/>
      <c r="F13" s="143"/>
      <c r="G13" s="150"/>
      <c r="H13" s="149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</row>
    <row r="14" spans="1:26" ht="15" customHeight="1">
      <c r="A14" s="143"/>
      <c r="B14" s="140"/>
      <c r="C14" s="141"/>
      <c r="D14" s="153"/>
      <c r="E14" s="142"/>
      <c r="F14" s="143"/>
      <c r="G14" s="145"/>
      <c r="H14" s="146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</row>
    <row r="15" spans="1:26" ht="15" customHeight="1">
      <c r="A15" s="143"/>
      <c r="B15" s="140"/>
      <c r="C15" s="141"/>
      <c r="D15" s="153"/>
      <c r="E15" s="142"/>
      <c r="F15" s="143"/>
      <c r="G15" s="145"/>
      <c r="H15" s="149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</row>
    <row r="16" spans="1:26" ht="15" customHeight="1">
      <c r="A16" s="143"/>
      <c r="B16" s="140"/>
      <c r="C16" s="141"/>
      <c r="D16" s="153"/>
      <c r="E16" s="142"/>
      <c r="F16" s="143"/>
      <c r="G16" s="150"/>
      <c r="H16" s="146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</row>
    <row r="17" spans="1:26" ht="15" customHeight="1">
      <c r="A17" s="143"/>
      <c r="B17" s="140"/>
      <c r="C17" s="141"/>
      <c r="D17" s="153"/>
      <c r="E17" s="142"/>
      <c r="F17" s="143"/>
      <c r="G17" s="145"/>
      <c r="H17" s="149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</row>
    <row r="18" spans="1:26" ht="15" customHeight="1">
      <c r="A18" s="143"/>
      <c r="B18" s="140"/>
      <c r="C18" s="141"/>
      <c r="D18" s="153"/>
      <c r="E18" s="142"/>
      <c r="F18" s="143"/>
      <c r="G18" s="150"/>
      <c r="H18" s="146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</row>
    <row r="19" spans="1:26" ht="15" customHeight="1">
      <c r="A19" s="143"/>
      <c r="B19" s="140"/>
      <c r="C19" s="141"/>
      <c r="D19" s="153"/>
      <c r="E19" s="142"/>
      <c r="F19" s="143"/>
      <c r="G19" s="150"/>
      <c r="H19" s="149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</row>
    <row r="20" spans="1:26" ht="15" customHeight="1">
      <c r="A20" s="143"/>
      <c r="B20" s="140"/>
      <c r="C20" s="141"/>
      <c r="D20" s="153"/>
      <c r="E20" s="142"/>
      <c r="F20" s="143"/>
      <c r="G20" s="145"/>
      <c r="H20" s="146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</row>
    <row r="21" spans="1:26" ht="15" customHeight="1">
      <c r="A21" s="143"/>
      <c r="B21" s="140"/>
      <c r="C21" s="141"/>
      <c r="D21" s="153"/>
      <c r="E21" s="142"/>
      <c r="F21" s="143"/>
      <c r="G21" s="145"/>
      <c r="H21" s="149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</row>
    <row r="22" spans="1:26" ht="15" customHeight="1">
      <c r="A22" s="143"/>
      <c r="B22" s="140"/>
      <c r="C22" s="141"/>
      <c r="D22" s="153"/>
      <c r="E22" s="142"/>
      <c r="F22" s="143"/>
      <c r="G22" s="145"/>
      <c r="H22" s="146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</row>
    <row r="23" spans="1:26" ht="15" customHeight="1">
      <c r="A23" s="143"/>
      <c r="B23" s="140"/>
      <c r="C23" s="141"/>
      <c r="D23" s="153"/>
      <c r="E23" s="142"/>
      <c r="F23" s="143"/>
      <c r="G23" s="145"/>
      <c r="H23" s="149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</row>
    <row r="24" spans="1:26" ht="15" customHeight="1">
      <c r="A24" s="143"/>
      <c r="B24" s="140"/>
      <c r="C24" s="141"/>
      <c r="D24" s="153"/>
      <c r="E24" s="142"/>
      <c r="F24" s="143"/>
      <c r="G24" s="145"/>
      <c r="H24" s="146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</row>
    <row r="25" spans="1:26" ht="24.75">
      <c r="A25" s="143"/>
      <c r="B25" s="140"/>
      <c r="C25" s="141"/>
      <c r="D25" s="153"/>
      <c r="E25" s="142"/>
      <c r="F25" s="143"/>
      <c r="G25" s="145"/>
      <c r="H25" s="149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</row>
    <row r="26" spans="1:26" ht="24.75">
      <c r="A26" s="143"/>
      <c r="B26" s="140"/>
      <c r="C26" s="141"/>
      <c r="D26" s="153"/>
      <c r="E26" s="142"/>
      <c r="F26" s="143"/>
      <c r="G26" s="145"/>
      <c r="H26" s="146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</row>
    <row r="27" spans="1:26" ht="24.75">
      <c r="A27" s="143"/>
      <c r="B27" s="140"/>
      <c r="C27" s="141"/>
      <c r="D27" s="153"/>
      <c r="E27" s="142"/>
      <c r="F27" s="143"/>
      <c r="G27" s="145"/>
      <c r="H27" s="149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</row>
    <row r="28" spans="1:26" ht="24.75">
      <c r="A28" s="143"/>
      <c r="B28" s="140"/>
      <c r="C28" s="141"/>
      <c r="D28" s="153"/>
      <c r="E28" s="142"/>
      <c r="F28" s="143"/>
      <c r="G28" s="150"/>
      <c r="H28" s="146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</row>
    <row r="29" spans="1:26" ht="24.75">
      <c r="A29" s="143"/>
      <c r="B29" s="140"/>
      <c r="C29" s="141"/>
      <c r="D29" s="153"/>
      <c r="E29" s="142"/>
      <c r="F29" s="143"/>
      <c r="G29" s="150"/>
      <c r="H29" s="149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</row>
    <row r="30" spans="1:26" ht="24.75">
      <c r="A30" s="143"/>
      <c r="B30" s="140"/>
      <c r="C30" s="141"/>
      <c r="D30" s="153"/>
      <c r="E30" s="142"/>
      <c r="F30" s="143"/>
      <c r="G30" s="150"/>
      <c r="H30" s="150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</row>
    <row r="31" spans="1:26" ht="24.75">
      <c r="A31" s="143"/>
      <c r="B31" s="140"/>
      <c r="C31" s="141"/>
      <c r="D31" s="153"/>
      <c r="E31" s="142"/>
      <c r="F31" s="143"/>
      <c r="G31" s="152"/>
      <c r="H31" s="152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</row>
    <row r="32" spans="1:26" ht="24.75">
      <c r="A32" s="143"/>
      <c r="B32" s="140"/>
      <c r="C32" s="141"/>
      <c r="D32" s="153"/>
      <c r="E32" s="142"/>
      <c r="F32" s="143"/>
      <c r="G32" s="150"/>
      <c r="H32" s="150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</row>
    <row r="33" spans="1:26" ht="24.75">
      <c r="A33" s="143"/>
      <c r="B33" s="140"/>
      <c r="C33" s="141"/>
      <c r="D33" s="153"/>
      <c r="E33" s="142"/>
      <c r="F33" s="143"/>
      <c r="G33" s="152"/>
      <c r="H33" s="152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</row>
    <row r="34" spans="1:26" ht="24.75">
      <c r="A34" s="143"/>
      <c r="B34" s="140"/>
      <c r="C34" s="141"/>
      <c r="D34" s="153"/>
      <c r="E34" s="142"/>
      <c r="F34" s="143"/>
      <c r="G34" s="150"/>
      <c r="H34" s="150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</row>
    <row r="35" spans="1:26" ht="24.75">
      <c r="A35" s="143"/>
      <c r="B35" s="140"/>
      <c r="C35" s="141"/>
      <c r="D35" s="153"/>
      <c r="E35" s="142"/>
      <c r="F35" s="143"/>
      <c r="G35" s="152"/>
      <c r="H35" s="152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</row>
    <row r="36" spans="1:26" ht="24.75">
      <c r="A36" s="143"/>
      <c r="B36" s="140"/>
      <c r="C36" s="141"/>
      <c r="D36" s="153"/>
      <c r="E36" s="142"/>
      <c r="F36" s="143"/>
      <c r="G36" s="150"/>
      <c r="H36" s="150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</row>
    <row r="37" spans="1:26" ht="24.75">
      <c r="A37" s="143"/>
      <c r="B37" s="140"/>
      <c r="C37" s="141"/>
      <c r="D37" s="153"/>
      <c r="E37" s="142"/>
      <c r="F37" s="143"/>
      <c r="G37" s="152"/>
      <c r="H37" s="152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</row>
    <row r="38" spans="1:26" ht="24.75">
      <c r="A38" s="143"/>
      <c r="B38" s="140"/>
      <c r="C38" s="141"/>
      <c r="D38" s="153"/>
      <c r="E38" s="142"/>
      <c r="F38" s="143"/>
      <c r="G38" s="150"/>
      <c r="H38" s="150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</row>
    <row r="39" spans="1:26" ht="24.75">
      <c r="A39" s="143"/>
      <c r="B39" s="140"/>
      <c r="C39" s="141"/>
      <c r="D39" s="153"/>
      <c r="E39" s="142"/>
      <c r="F39" s="143"/>
      <c r="G39" s="152"/>
      <c r="H39" s="152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</row>
    <row r="40" spans="1:26" ht="24.75">
      <c r="A40" s="143"/>
      <c r="B40" s="140"/>
      <c r="C40" s="141"/>
      <c r="D40" s="153"/>
      <c r="E40" s="142"/>
      <c r="F40" s="143"/>
      <c r="G40" s="150"/>
      <c r="H40" s="150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</row>
    <row r="41" spans="1:26" ht="24.75">
      <c r="A41" s="143"/>
      <c r="B41" s="140"/>
      <c r="C41" s="141"/>
      <c r="D41" s="153"/>
      <c r="E41" s="142"/>
      <c r="F41" s="143"/>
      <c r="G41" s="152"/>
      <c r="H41" s="152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</row>
    <row r="42" spans="1:26" ht="24.75">
      <c r="A42" s="143"/>
      <c r="B42" s="140"/>
      <c r="C42" s="141"/>
      <c r="D42" s="153"/>
      <c r="E42" s="142"/>
      <c r="F42" s="143"/>
      <c r="G42" s="150"/>
      <c r="H42" s="150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</row>
    <row r="43" spans="1:26" ht="24.75">
      <c r="A43" s="143"/>
      <c r="B43" s="140"/>
      <c r="C43" s="141"/>
      <c r="D43" s="153"/>
      <c r="E43" s="142"/>
      <c r="F43" s="143"/>
      <c r="G43" s="152"/>
      <c r="H43" s="152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</row>
    <row r="44" spans="1:26" ht="24.75">
      <c r="A44" s="143"/>
      <c r="B44" s="140"/>
      <c r="C44" s="141"/>
      <c r="D44" s="153"/>
      <c r="E44" s="142"/>
      <c r="F44" s="143"/>
      <c r="G44" s="150"/>
      <c r="H44" s="150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</row>
    <row r="45" spans="1:26" ht="24.75">
      <c r="A45" s="143"/>
      <c r="B45" s="140"/>
      <c r="C45" s="141"/>
      <c r="D45" s="153"/>
      <c r="E45" s="142"/>
      <c r="F45" s="143"/>
      <c r="G45" s="152"/>
      <c r="H45" s="152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</row>
    <row r="46" spans="1:26" ht="24.75">
      <c r="A46" s="143"/>
      <c r="B46" s="140"/>
      <c r="C46" s="141"/>
      <c r="D46" s="153"/>
      <c r="E46" s="142"/>
      <c r="F46" s="143"/>
      <c r="G46" s="150"/>
      <c r="H46" s="150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</row>
    <row r="47" spans="1:26" ht="24.75">
      <c r="A47" s="143"/>
      <c r="B47" s="140"/>
      <c r="C47" s="141"/>
      <c r="D47" s="153"/>
      <c r="E47" s="142"/>
      <c r="F47" s="143"/>
      <c r="G47" s="152"/>
      <c r="H47" s="152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</row>
    <row r="48" spans="1:26" ht="24.75">
      <c r="A48" s="143"/>
      <c r="B48" s="140"/>
      <c r="C48" s="141"/>
      <c r="D48" s="153"/>
      <c r="E48" s="142"/>
      <c r="F48" s="143"/>
      <c r="G48" s="150"/>
      <c r="H48" s="150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</row>
    <row r="49" spans="1:26" ht="24.75">
      <c r="A49" s="143"/>
      <c r="B49" s="140"/>
      <c r="C49" s="141"/>
      <c r="D49" s="153"/>
      <c r="E49" s="142"/>
      <c r="F49" s="143"/>
      <c r="G49" s="152"/>
      <c r="H49" s="152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</row>
    <row r="50" spans="1:26" ht="24.75">
      <c r="A50" s="143"/>
      <c r="B50" s="140"/>
      <c r="C50" s="141"/>
      <c r="D50" s="153"/>
      <c r="E50" s="142"/>
      <c r="F50" s="143"/>
      <c r="G50" s="150"/>
      <c r="H50" s="150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</row>
    <row r="51" spans="1:26" ht="24.75">
      <c r="A51" s="143"/>
      <c r="B51" s="140"/>
      <c r="C51" s="141"/>
      <c r="D51" s="153"/>
      <c r="E51" s="142"/>
      <c r="F51" s="143"/>
      <c r="G51" s="152"/>
      <c r="H51" s="152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</row>
    <row r="52" spans="1:26" ht="24.75">
      <c r="A52" s="143"/>
      <c r="B52" s="140"/>
      <c r="C52" s="141"/>
      <c r="D52" s="153"/>
      <c r="E52" s="142"/>
      <c r="F52" s="143"/>
      <c r="G52" s="150"/>
      <c r="H52" s="150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</row>
    <row r="53" spans="1:26" ht="24.75">
      <c r="A53" s="143"/>
      <c r="B53" s="140"/>
      <c r="C53" s="141"/>
      <c r="D53" s="153"/>
      <c r="E53" s="142"/>
      <c r="F53" s="143"/>
      <c r="G53" s="152"/>
      <c r="H53" s="152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</row>
    <row r="54" spans="1:26" ht="24.75">
      <c r="A54" s="143"/>
      <c r="B54" s="140"/>
      <c r="C54" s="141"/>
      <c r="D54" s="153"/>
      <c r="E54" s="142"/>
      <c r="F54" s="143"/>
      <c r="G54" s="150"/>
      <c r="H54" s="150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</row>
    <row r="55" spans="1:26" ht="24.75">
      <c r="A55" s="143"/>
      <c r="B55" s="140"/>
      <c r="C55" s="141"/>
      <c r="D55" s="153"/>
      <c r="E55" s="142"/>
      <c r="F55" s="143"/>
      <c r="G55" s="152"/>
      <c r="H55" s="152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</row>
    <row r="56" spans="1:26" ht="24.75">
      <c r="A56" s="143"/>
      <c r="B56" s="140"/>
      <c r="C56" s="141"/>
      <c r="D56" s="153"/>
      <c r="E56" s="142"/>
      <c r="F56" s="143"/>
      <c r="G56" s="150"/>
      <c r="H56" s="150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</row>
    <row r="57" spans="1:26" ht="24.75">
      <c r="A57" s="143"/>
      <c r="B57" s="140"/>
      <c r="C57" s="141"/>
      <c r="D57" s="153"/>
      <c r="E57" s="142"/>
      <c r="F57" s="143"/>
      <c r="G57" s="152"/>
      <c r="H57" s="152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</row>
    <row r="58" spans="1:26" ht="24.75">
      <c r="A58" s="143"/>
      <c r="B58" s="140"/>
      <c r="C58" s="141"/>
      <c r="D58" s="153"/>
      <c r="E58" s="142"/>
      <c r="F58" s="143"/>
      <c r="G58" s="150"/>
      <c r="H58" s="150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</row>
    <row r="59" spans="1:26" ht="24.75">
      <c r="A59" s="143"/>
      <c r="B59" s="140"/>
      <c r="C59" s="141"/>
      <c r="D59" s="153"/>
      <c r="E59" s="142"/>
      <c r="F59" s="143"/>
      <c r="G59" s="152"/>
      <c r="H59" s="152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</row>
    <row r="60" spans="1:26" ht="24.75">
      <c r="A60" s="143"/>
      <c r="B60" s="140"/>
      <c r="C60" s="141"/>
      <c r="D60" s="153"/>
      <c r="E60" s="142"/>
      <c r="F60" s="143"/>
      <c r="G60" s="150"/>
      <c r="H60" s="150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</row>
    <row r="61" spans="1:26" ht="24.75">
      <c r="A61" s="143"/>
      <c r="B61" s="140"/>
      <c r="C61" s="141"/>
      <c r="D61" s="153"/>
      <c r="E61" s="142"/>
      <c r="F61" s="143"/>
      <c r="G61" s="152"/>
      <c r="H61" s="152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</row>
    <row r="62" spans="1:26" ht="24.75">
      <c r="A62" s="143"/>
      <c r="B62" s="140"/>
      <c r="C62" s="141"/>
      <c r="D62" s="153"/>
      <c r="E62" s="142"/>
      <c r="F62" s="143"/>
      <c r="G62" s="150"/>
      <c r="H62" s="150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</row>
    <row r="63" spans="1:26" ht="24.75">
      <c r="A63" s="143"/>
      <c r="B63" s="140"/>
      <c r="C63" s="141"/>
      <c r="D63" s="153"/>
      <c r="E63" s="142"/>
      <c r="F63" s="143"/>
      <c r="G63" s="152"/>
      <c r="H63" s="152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</row>
    <row r="64" spans="1:26" ht="24.75">
      <c r="A64" s="143"/>
      <c r="B64" s="140"/>
      <c r="C64" s="141"/>
      <c r="D64" s="153"/>
      <c r="E64" s="142"/>
      <c r="F64" s="143"/>
      <c r="G64" s="150"/>
      <c r="H64" s="150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</row>
    <row r="65" spans="1:26" ht="24.75">
      <c r="A65" s="143"/>
      <c r="B65" s="140"/>
      <c r="C65" s="141"/>
      <c r="D65" s="153"/>
      <c r="E65" s="142"/>
      <c r="F65" s="143"/>
      <c r="G65" s="152"/>
      <c r="H65" s="152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</row>
    <row r="66" spans="1:26" ht="24.75">
      <c r="A66" s="143"/>
      <c r="B66" s="140"/>
      <c r="C66" s="141"/>
      <c r="D66" s="153"/>
      <c r="E66" s="142"/>
      <c r="F66" s="143"/>
      <c r="G66" s="150"/>
      <c r="H66" s="150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</row>
    <row r="67" spans="1:26" ht="24.75">
      <c r="A67" s="143"/>
      <c r="B67" s="140"/>
      <c r="C67" s="141"/>
      <c r="D67" s="153"/>
      <c r="E67" s="142"/>
      <c r="F67" s="143"/>
      <c r="G67" s="152"/>
      <c r="H67" s="152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</row>
    <row r="68" spans="1:26" ht="24.75">
      <c r="A68" s="143"/>
      <c r="B68" s="140"/>
      <c r="C68" s="141"/>
      <c r="D68" s="153"/>
      <c r="E68" s="142"/>
      <c r="F68" s="143"/>
      <c r="G68" s="150"/>
      <c r="H68" s="150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</row>
    <row r="69" spans="1:26" ht="24.75">
      <c r="A69" s="143"/>
      <c r="B69" s="140"/>
      <c r="C69" s="141"/>
      <c r="D69" s="153"/>
      <c r="E69" s="142"/>
      <c r="F69" s="143"/>
      <c r="G69" s="152"/>
      <c r="H69" s="152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</row>
    <row r="70" spans="1:26" ht="24.75">
      <c r="A70" s="143"/>
      <c r="B70" s="140"/>
      <c r="C70" s="141"/>
      <c r="D70" s="153"/>
      <c r="E70" s="142"/>
      <c r="F70" s="143"/>
      <c r="G70" s="150"/>
      <c r="H70" s="150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</row>
    <row r="71" spans="1:26" ht="24.75">
      <c r="A71" s="143"/>
      <c r="B71" s="140"/>
      <c r="C71" s="141"/>
      <c r="D71" s="153"/>
      <c r="E71" s="142"/>
      <c r="F71" s="143"/>
      <c r="G71" s="152"/>
      <c r="H71" s="152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</row>
    <row r="72" spans="1:26" ht="24.75">
      <c r="A72" s="143"/>
      <c r="B72" s="140"/>
      <c r="C72" s="141"/>
      <c r="D72" s="153"/>
      <c r="E72" s="142"/>
      <c r="F72" s="143"/>
      <c r="G72" s="150"/>
      <c r="H72" s="150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</row>
    <row r="73" spans="1:26" ht="24.75">
      <c r="A73" s="143"/>
      <c r="B73" s="140"/>
      <c r="C73" s="141"/>
      <c r="D73" s="153"/>
      <c r="E73" s="142"/>
      <c r="F73" s="143"/>
      <c r="G73" s="152"/>
      <c r="H73" s="152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</row>
    <row r="74" spans="1:26" ht="24.75">
      <c r="A74" s="143"/>
      <c r="B74" s="140"/>
      <c r="C74" s="141"/>
      <c r="D74" s="153"/>
      <c r="E74" s="142"/>
      <c r="F74" s="143"/>
      <c r="G74" s="150"/>
      <c r="H74" s="150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</row>
    <row r="75" spans="1:26" ht="24.75">
      <c r="A75" s="143"/>
      <c r="B75" s="140"/>
      <c r="C75" s="141"/>
      <c r="D75" s="153"/>
      <c r="E75" s="142"/>
      <c r="F75" s="143"/>
      <c r="G75" s="152"/>
      <c r="H75" s="152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</row>
    <row r="76" spans="1:26" ht="24.75">
      <c r="A76" s="143"/>
      <c r="B76" s="140"/>
      <c r="C76" s="141"/>
      <c r="D76" s="153"/>
      <c r="E76" s="142"/>
      <c r="F76" s="143"/>
      <c r="G76" s="150"/>
      <c r="H76" s="150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</row>
    <row r="77" spans="1:26" ht="24.75">
      <c r="A77" s="143"/>
      <c r="B77" s="140"/>
      <c r="C77" s="141"/>
      <c r="D77" s="153"/>
      <c r="E77" s="142"/>
      <c r="F77" s="143"/>
      <c r="G77" s="152"/>
      <c r="H77" s="152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</row>
    <row r="78" spans="1:26" ht="24.75">
      <c r="A78" s="143"/>
      <c r="B78" s="140"/>
      <c r="C78" s="141"/>
      <c r="D78" s="153"/>
      <c r="E78" s="142"/>
      <c r="F78" s="143"/>
      <c r="G78" s="150"/>
      <c r="H78" s="150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</row>
    <row r="79" spans="1:26" ht="24.75">
      <c r="A79" s="143"/>
      <c r="B79" s="140"/>
      <c r="C79" s="141"/>
      <c r="D79" s="153"/>
      <c r="E79" s="142"/>
      <c r="F79" s="143"/>
      <c r="G79" s="152"/>
      <c r="H79" s="152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</row>
    <row r="80" spans="1:26" ht="24.75">
      <c r="A80" s="143"/>
      <c r="B80" s="140"/>
      <c r="C80" s="141"/>
      <c r="D80" s="153"/>
      <c r="E80" s="142"/>
      <c r="F80" s="143"/>
      <c r="G80" s="150"/>
      <c r="H80" s="150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</row>
    <row r="81" spans="1:26" ht="24.75">
      <c r="A81" s="143"/>
      <c r="B81" s="140"/>
      <c r="C81" s="141"/>
      <c r="D81" s="153"/>
      <c r="E81" s="142"/>
      <c r="F81" s="143"/>
      <c r="G81" s="152"/>
      <c r="H81" s="152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</row>
    <row r="82" spans="1:26" ht="24.75">
      <c r="A82" s="143"/>
      <c r="B82" s="140"/>
      <c r="C82" s="141"/>
      <c r="D82" s="153"/>
      <c r="E82" s="142"/>
      <c r="F82" s="143"/>
      <c r="G82" s="150"/>
      <c r="H82" s="150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</row>
    <row r="83" spans="1:26" ht="24.75">
      <c r="A83" s="143"/>
      <c r="B83" s="140"/>
      <c r="C83" s="141"/>
      <c r="D83" s="153"/>
      <c r="E83" s="142"/>
      <c r="F83" s="143"/>
      <c r="G83" s="152"/>
      <c r="H83" s="152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</row>
    <row r="84" spans="1:26" ht="24.75">
      <c r="A84" s="143"/>
      <c r="B84" s="140"/>
      <c r="C84" s="141"/>
      <c r="D84" s="153"/>
      <c r="E84" s="142"/>
      <c r="F84" s="143"/>
      <c r="G84" s="150"/>
      <c r="H84" s="150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</row>
    <row r="85" spans="1:26" ht="24.75">
      <c r="A85" s="143"/>
      <c r="B85" s="140"/>
      <c r="C85" s="141"/>
      <c r="D85" s="153"/>
      <c r="E85" s="142"/>
      <c r="F85" s="143"/>
      <c r="G85" s="152"/>
      <c r="H85" s="152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</row>
    <row r="86" spans="1:26" ht="24.75">
      <c r="A86" s="143"/>
      <c r="B86" s="140"/>
      <c r="C86" s="141"/>
      <c r="D86" s="153"/>
      <c r="E86" s="142"/>
      <c r="F86" s="143"/>
      <c r="G86" s="150"/>
      <c r="H86" s="150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</row>
    <row r="87" spans="1:26" ht="24.75">
      <c r="A87" s="143"/>
      <c r="B87" s="140"/>
      <c r="C87" s="141"/>
      <c r="D87" s="153"/>
      <c r="E87" s="142"/>
      <c r="F87" s="143"/>
      <c r="G87" s="152"/>
      <c r="H87" s="152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</row>
    <row r="88" spans="1:26" ht="24.75">
      <c r="A88" s="143"/>
      <c r="B88" s="140"/>
      <c r="C88" s="141"/>
      <c r="D88" s="153"/>
      <c r="E88" s="142"/>
      <c r="F88" s="143"/>
      <c r="G88" s="150"/>
      <c r="H88" s="150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</row>
    <row r="89" spans="1:26" ht="24.75">
      <c r="A89" s="143"/>
      <c r="B89" s="140"/>
      <c r="C89" s="141"/>
      <c r="D89" s="153"/>
      <c r="E89" s="142"/>
      <c r="F89" s="143"/>
      <c r="G89" s="152"/>
      <c r="H89" s="152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</row>
    <row r="90" spans="1:26" ht="24.75">
      <c r="A90" s="143"/>
      <c r="B90" s="140"/>
      <c r="C90" s="141"/>
      <c r="D90" s="153"/>
      <c r="E90" s="142"/>
      <c r="F90" s="143"/>
      <c r="G90" s="150"/>
      <c r="H90" s="150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</row>
    <row r="91" spans="1:26" ht="24.75">
      <c r="A91" s="143"/>
      <c r="B91" s="140"/>
      <c r="C91" s="141"/>
      <c r="D91" s="153"/>
      <c r="E91" s="142"/>
      <c r="F91" s="143"/>
      <c r="G91" s="152"/>
      <c r="H91" s="152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</row>
    <row r="92" spans="1:26" ht="24.75">
      <c r="A92" s="143"/>
      <c r="B92" s="140"/>
      <c r="C92" s="141"/>
      <c r="D92" s="153"/>
      <c r="E92" s="142"/>
      <c r="F92" s="143"/>
      <c r="G92" s="150"/>
      <c r="H92" s="150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</row>
    <row r="93" spans="1:26" ht="24.75">
      <c r="A93" s="143"/>
      <c r="B93" s="140"/>
      <c r="C93" s="141"/>
      <c r="D93" s="153"/>
      <c r="E93" s="142"/>
      <c r="F93" s="143"/>
      <c r="G93" s="152"/>
      <c r="H93" s="152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</row>
    <row r="94" spans="1:26" ht="24.75">
      <c r="A94" s="143"/>
      <c r="B94" s="140"/>
      <c r="C94" s="141"/>
      <c r="D94" s="153"/>
      <c r="E94" s="142"/>
      <c r="F94" s="143"/>
      <c r="G94" s="150"/>
      <c r="H94" s="150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</row>
    <row r="95" spans="1:26" ht="24.75">
      <c r="A95" s="143"/>
      <c r="B95" s="140"/>
      <c r="C95" s="141"/>
      <c r="D95" s="153"/>
      <c r="E95" s="142"/>
      <c r="F95" s="143"/>
      <c r="G95" s="152"/>
      <c r="H95" s="152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</row>
    <row r="96" spans="1:26" ht="24.75">
      <c r="A96" s="143"/>
      <c r="B96" s="140"/>
      <c r="C96" s="141"/>
      <c r="D96" s="153"/>
      <c r="E96" s="142"/>
      <c r="F96" s="143"/>
      <c r="G96" s="150"/>
      <c r="H96" s="150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</row>
    <row r="97" spans="1:26" ht="24.75">
      <c r="A97" s="143"/>
      <c r="B97" s="140"/>
      <c r="C97" s="141"/>
      <c r="D97" s="153"/>
      <c r="E97" s="142"/>
      <c r="F97" s="143"/>
      <c r="G97" s="152"/>
      <c r="H97" s="152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</row>
    <row r="98" spans="1:26" ht="24.75">
      <c r="A98" s="143"/>
      <c r="B98" s="140"/>
      <c r="C98" s="141"/>
      <c r="D98" s="153"/>
      <c r="E98" s="142"/>
      <c r="F98" s="143"/>
      <c r="G98" s="150"/>
      <c r="H98" s="150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</row>
    <row r="99" spans="1:26" ht="24.75">
      <c r="A99" s="143"/>
      <c r="B99" s="140"/>
      <c r="C99" s="141"/>
      <c r="D99" s="153"/>
      <c r="E99" s="142"/>
      <c r="F99" s="143"/>
      <c r="G99" s="152"/>
      <c r="H99" s="152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</row>
    <row r="100" spans="1:26" ht="24.75">
      <c r="A100" s="143"/>
      <c r="B100" s="140"/>
      <c r="C100" s="141"/>
      <c r="D100" s="153"/>
      <c r="E100" s="142"/>
      <c r="F100" s="143"/>
      <c r="G100" s="150"/>
      <c r="H100" s="150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</row>
    <row r="101" spans="1:26" ht="24.75">
      <c r="A101" s="143"/>
      <c r="B101" s="140"/>
      <c r="C101" s="141"/>
      <c r="D101" s="153"/>
      <c r="E101" s="142"/>
      <c r="F101" s="143"/>
      <c r="G101" s="152"/>
      <c r="H101" s="152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</row>
    <row r="102" spans="1:26" ht="24.75">
      <c r="A102" s="143"/>
      <c r="B102" s="140"/>
      <c r="C102" s="141"/>
      <c r="D102" s="153"/>
      <c r="E102" s="142"/>
      <c r="F102" s="143"/>
      <c r="G102" s="150"/>
      <c r="H102" s="150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</row>
    <row r="103" spans="1:26" ht="24.75">
      <c r="A103" s="143"/>
      <c r="B103" s="140"/>
      <c r="C103" s="141"/>
      <c r="D103" s="153"/>
      <c r="E103" s="142"/>
      <c r="F103" s="143"/>
      <c r="G103" s="152"/>
      <c r="H103" s="152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</row>
    <row r="104" spans="1:26" ht="24.75">
      <c r="A104" s="143"/>
      <c r="B104" s="140"/>
      <c r="C104" s="141"/>
      <c r="D104" s="153"/>
      <c r="E104" s="142"/>
      <c r="F104" s="143"/>
      <c r="G104" s="150"/>
      <c r="H104" s="150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</row>
    <row r="105" spans="1:26" ht="24.75">
      <c r="A105" s="143"/>
      <c r="B105" s="140"/>
      <c r="C105" s="141"/>
      <c r="D105" s="153"/>
      <c r="E105" s="142"/>
      <c r="F105" s="143"/>
      <c r="G105" s="152"/>
      <c r="H105" s="152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</row>
    <row r="106" spans="1:26" ht="24.75">
      <c r="A106" s="143"/>
      <c r="B106" s="140"/>
      <c r="C106" s="141"/>
      <c r="D106" s="153"/>
      <c r="E106" s="142"/>
      <c r="F106" s="143"/>
      <c r="G106" s="150"/>
      <c r="H106" s="150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</row>
    <row r="107" spans="1:26" ht="24.75">
      <c r="A107" s="143"/>
      <c r="B107" s="140"/>
      <c r="C107" s="141"/>
      <c r="D107" s="153"/>
      <c r="E107" s="142"/>
      <c r="F107" s="143"/>
      <c r="G107" s="152"/>
      <c r="H107" s="152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</row>
    <row r="108" spans="1:26" ht="24.75">
      <c r="A108" s="143"/>
      <c r="B108" s="140"/>
      <c r="C108" s="141"/>
      <c r="D108" s="153"/>
      <c r="E108" s="142"/>
      <c r="F108" s="143"/>
      <c r="G108" s="150"/>
      <c r="H108" s="150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</row>
    <row r="109" spans="1:26" ht="24.75">
      <c r="A109" s="143"/>
      <c r="B109" s="140"/>
      <c r="C109" s="141"/>
      <c r="D109" s="153"/>
      <c r="E109" s="142"/>
      <c r="F109" s="143"/>
      <c r="G109" s="152"/>
      <c r="H109" s="152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</row>
    <row r="110" spans="1:26" ht="24.75">
      <c r="A110" s="143"/>
      <c r="B110" s="140"/>
      <c r="C110" s="141"/>
      <c r="D110" s="153"/>
      <c r="E110" s="142"/>
      <c r="F110" s="143"/>
      <c r="G110" s="150"/>
      <c r="H110" s="150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</row>
    <row r="111" spans="1:26" ht="24.75">
      <c r="A111" s="143"/>
      <c r="B111" s="140"/>
      <c r="C111" s="141"/>
      <c r="D111" s="153"/>
      <c r="E111" s="142"/>
      <c r="F111" s="143"/>
      <c r="G111" s="152"/>
      <c r="H111" s="152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</row>
    <row r="112" spans="1:26" ht="24.75">
      <c r="A112" s="143"/>
      <c r="B112" s="140"/>
      <c r="C112" s="141"/>
      <c r="D112" s="153"/>
      <c r="E112" s="142"/>
      <c r="F112" s="143"/>
      <c r="G112" s="150"/>
      <c r="H112" s="150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</row>
    <row r="113" spans="1:26" ht="24.75">
      <c r="A113" s="143"/>
      <c r="B113" s="140"/>
      <c r="C113" s="141"/>
      <c r="D113" s="153"/>
      <c r="E113" s="142"/>
      <c r="F113" s="143"/>
      <c r="G113" s="152"/>
      <c r="H113" s="152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</row>
    <row r="114" spans="1:26" ht="24.75">
      <c r="A114" s="143"/>
      <c r="B114" s="140"/>
      <c r="C114" s="141"/>
      <c r="D114" s="153"/>
      <c r="E114" s="142"/>
      <c r="F114" s="143"/>
      <c r="G114" s="150"/>
      <c r="H114" s="150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</row>
    <row r="115" spans="1:26" ht="24.75">
      <c r="A115" s="143"/>
      <c r="B115" s="140"/>
      <c r="C115" s="141"/>
      <c r="D115" s="153"/>
      <c r="E115" s="142"/>
      <c r="F115" s="143"/>
      <c r="G115" s="152"/>
      <c r="H115" s="152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</row>
    <row r="116" spans="1:26" ht="24.75">
      <c r="A116" s="143"/>
      <c r="B116" s="140"/>
      <c r="C116" s="141"/>
      <c r="D116" s="153"/>
      <c r="E116" s="142"/>
      <c r="F116" s="143"/>
      <c r="G116" s="150"/>
      <c r="H116" s="150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</row>
    <row r="117" spans="1:26" ht="24.75">
      <c r="A117" s="143"/>
      <c r="B117" s="140"/>
      <c r="C117" s="141"/>
      <c r="D117" s="153"/>
      <c r="E117" s="142"/>
      <c r="F117" s="143"/>
      <c r="G117" s="152"/>
      <c r="H117" s="152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</row>
    <row r="118" spans="1:26" ht="24.75">
      <c r="A118" s="143"/>
      <c r="B118" s="140"/>
      <c r="C118" s="141"/>
      <c r="D118" s="153"/>
      <c r="E118" s="142"/>
      <c r="F118" s="143"/>
      <c r="G118" s="150"/>
      <c r="H118" s="150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</row>
    <row r="119" spans="1:26" ht="24.75">
      <c r="A119" s="143"/>
      <c r="B119" s="140"/>
      <c r="C119" s="141"/>
      <c r="D119" s="153"/>
      <c r="E119" s="142"/>
      <c r="F119" s="143"/>
      <c r="G119" s="152"/>
      <c r="H119" s="152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</row>
    <row r="120" spans="1:26" ht="24.75">
      <c r="A120" s="143"/>
      <c r="B120" s="140"/>
      <c r="C120" s="141"/>
      <c r="D120" s="153"/>
      <c r="E120" s="142"/>
      <c r="F120" s="143"/>
      <c r="G120" s="150"/>
      <c r="H120" s="150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</row>
    <row r="121" spans="1:26" ht="24.75">
      <c r="A121" s="143"/>
      <c r="B121" s="140"/>
      <c r="C121" s="141"/>
      <c r="D121" s="153"/>
      <c r="E121" s="142"/>
      <c r="F121" s="143"/>
      <c r="G121" s="152"/>
      <c r="H121" s="152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</row>
    <row r="122" spans="1:26" ht="24.75">
      <c r="A122" s="143"/>
      <c r="B122" s="140"/>
      <c r="C122" s="141"/>
      <c r="D122" s="153"/>
      <c r="E122" s="142"/>
      <c r="F122" s="143"/>
      <c r="G122" s="150"/>
      <c r="H122" s="150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</row>
    <row r="123" spans="1:26" ht="24.75">
      <c r="A123" s="143"/>
      <c r="B123" s="140"/>
      <c r="C123" s="141"/>
      <c r="D123" s="153"/>
      <c r="E123" s="142"/>
      <c r="F123" s="143"/>
      <c r="G123" s="152"/>
      <c r="H123" s="152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</row>
    <row r="124" spans="1:26" ht="24.75">
      <c r="A124" s="143"/>
      <c r="B124" s="140"/>
      <c r="C124" s="141"/>
      <c r="D124" s="153"/>
      <c r="E124" s="142"/>
      <c r="F124" s="143"/>
      <c r="G124" s="150"/>
      <c r="H124" s="150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</row>
    <row r="125" spans="1:26" ht="24.75">
      <c r="A125" s="143"/>
      <c r="B125" s="140"/>
      <c r="C125" s="141"/>
      <c r="D125" s="153"/>
      <c r="E125" s="142"/>
      <c r="F125" s="143"/>
      <c r="G125" s="152"/>
      <c r="H125" s="152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</row>
    <row r="126" spans="1:26" ht="24.75">
      <c r="A126" s="143"/>
      <c r="B126" s="140"/>
      <c r="C126" s="141"/>
      <c r="D126" s="153"/>
      <c r="E126" s="142"/>
      <c r="F126" s="143"/>
      <c r="G126" s="150"/>
      <c r="H126" s="150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</row>
    <row r="127" spans="1:26" ht="24.75">
      <c r="A127" s="143"/>
      <c r="B127" s="140"/>
      <c r="C127" s="141"/>
      <c r="D127" s="153"/>
      <c r="E127" s="142"/>
      <c r="F127" s="143"/>
      <c r="G127" s="152"/>
      <c r="H127" s="152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</row>
    <row r="128" spans="1:26" ht="24.75">
      <c r="A128" s="143"/>
      <c r="B128" s="140"/>
      <c r="C128" s="141"/>
      <c r="D128" s="153"/>
      <c r="E128" s="142"/>
      <c r="F128" s="143"/>
      <c r="G128" s="150"/>
      <c r="H128" s="150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</row>
    <row r="129" spans="1:26" ht="24.75">
      <c r="A129" s="143"/>
      <c r="B129" s="140"/>
      <c r="C129" s="141"/>
      <c r="D129" s="153"/>
      <c r="E129" s="142"/>
      <c r="F129" s="143"/>
      <c r="G129" s="152"/>
      <c r="H129" s="152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</row>
    <row r="130" spans="1:26" ht="24.75">
      <c r="A130" s="143"/>
      <c r="B130" s="140"/>
      <c r="C130" s="141"/>
      <c r="D130" s="153"/>
      <c r="E130" s="142"/>
      <c r="F130" s="143"/>
      <c r="G130" s="150"/>
      <c r="H130" s="150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</row>
    <row r="131" spans="1:26" ht="24.75">
      <c r="A131" s="143"/>
      <c r="B131" s="140"/>
      <c r="C131" s="141"/>
      <c r="D131" s="153"/>
      <c r="E131" s="142"/>
      <c r="F131" s="143"/>
      <c r="G131" s="152"/>
      <c r="H131" s="152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</row>
    <row r="132" spans="1:26" ht="24.75">
      <c r="A132" s="143"/>
      <c r="B132" s="140"/>
      <c r="C132" s="141"/>
      <c r="D132" s="153"/>
      <c r="E132" s="142"/>
      <c r="F132" s="143"/>
      <c r="G132" s="150"/>
      <c r="H132" s="150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</row>
    <row r="133" spans="1:26" ht="24.75">
      <c r="A133" s="143"/>
      <c r="B133" s="140"/>
      <c r="C133" s="141"/>
      <c r="D133" s="153"/>
      <c r="E133" s="142"/>
      <c r="F133" s="143"/>
      <c r="G133" s="152"/>
      <c r="H133" s="152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</row>
    <row r="134" spans="1:26" ht="24.75">
      <c r="A134" s="143"/>
      <c r="B134" s="140"/>
      <c r="C134" s="141"/>
      <c r="D134" s="153"/>
      <c r="E134" s="142"/>
      <c r="F134" s="143"/>
      <c r="G134" s="150"/>
      <c r="H134" s="150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</row>
    <row r="135" spans="1:26" ht="24.75">
      <c r="A135" s="143"/>
      <c r="B135" s="140"/>
      <c r="C135" s="141"/>
      <c r="D135" s="153"/>
      <c r="E135" s="142"/>
      <c r="F135" s="143"/>
      <c r="G135" s="152"/>
      <c r="H135" s="152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</row>
    <row r="136" spans="1:26" ht="24.75">
      <c r="A136" s="143"/>
      <c r="B136" s="140"/>
      <c r="C136" s="141"/>
      <c r="D136" s="153"/>
      <c r="E136" s="142"/>
      <c r="F136" s="143"/>
      <c r="G136" s="150"/>
      <c r="H136" s="150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</row>
    <row r="137" spans="1:26" ht="24.75">
      <c r="A137" s="143"/>
      <c r="B137" s="140"/>
      <c r="C137" s="141"/>
      <c r="D137" s="153"/>
      <c r="E137" s="142"/>
      <c r="F137" s="143"/>
      <c r="G137" s="152"/>
      <c r="H137" s="152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</row>
    <row r="138" spans="1:26" ht="24.75">
      <c r="A138" s="143"/>
      <c r="B138" s="140"/>
      <c r="C138" s="141"/>
      <c r="D138" s="153"/>
      <c r="E138" s="142"/>
      <c r="F138" s="143"/>
      <c r="G138" s="150"/>
      <c r="H138" s="150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</row>
    <row r="139" spans="1:26" ht="24.75">
      <c r="A139" s="143"/>
      <c r="B139" s="140"/>
      <c r="C139" s="141"/>
      <c r="D139" s="153"/>
      <c r="E139" s="142"/>
      <c r="F139" s="143"/>
      <c r="G139" s="152"/>
      <c r="H139" s="152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</row>
    <row r="140" spans="1:26" ht="24.75">
      <c r="A140" s="143"/>
      <c r="B140" s="140"/>
      <c r="C140" s="141"/>
      <c r="D140" s="153"/>
      <c r="E140" s="142"/>
      <c r="F140" s="143"/>
      <c r="G140" s="150"/>
      <c r="H140" s="150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</row>
    <row r="141" spans="1:26" ht="24.75">
      <c r="A141" s="143"/>
      <c r="B141" s="140"/>
      <c r="C141" s="141"/>
      <c r="D141" s="153"/>
      <c r="E141" s="142"/>
      <c r="F141" s="143"/>
      <c r="G141" s="152"/>
      <c r="H141" s="152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</row>
    <row r="142" spans="1:26" ht="24.75">
      <c r="A142" s="143"/>
      <c r="B142" s="140"/>
      <c r="C142" s="141"/>
      <c r="D142" s="153"/>
      <c r="E142" s="142"/>
      <c r="F142" s="143"/>
      <c r="G142" s="150"/>
      <c r="H142" s="150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</row>
    <row r="143" spans="1:26" ht="24.75">
      <c r="A143" s="143"/>
      <c r="B143" s="140"/>
      <c r="C143" s="141"/>
      <c r="D143" s="153"/>
      <c r="E143" s="142"/>
      <c r="F143" s="143"/>
      <c r="G143" s="152"/>
      <c r="H143" s="152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</row>
    <row r="144" spans="1:26" ht="24.75">
      <c r="A144" s="143"/>
      <c r="B144" s="140"/>
      <c r="C144" s="141"/>
      <c r="D144" s="153"/>
      <c r="E144" s="142"/>
      <c r="F144" s="143"/>
      <c r="G144" s="150"/>
      <c r="H144" s="150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</row>
    <row r="145" spans="1:26" ht="24.75">
      <c r="A145" s="143"/>
      <c r="B145" s="140"/>
      <c r="C145" s="141"/>
      <c r="D145" s="153"/>
      <c r="E145" s="142"/>
      <c r="F145" s="143"/>
      <c r="G145" s="152"/>
      <c r="H145" s="152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</row>
    <row r="146" spans="1:26" ht="24.75">
      <c r="A146" s="143"/>
      <c r="B146" s="140"/>
      <c r="C146" s="141"/>
      <c r="D146" s="153"/>
      <c r="E146" s="142"/>
      <c r="F146" s="143"/>
      <c r="G146" s="150"/>
      <c r="H146" s="150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</row>
    <row r="147" spans="1:26" ht="24.75">
      <c r="A147" s="143"/>
      <c r="B147" s="140"/>
      <c r="C147" s="141"/>
      <c r="D147" s="153"/>
      <c r="E147" s="142"/>
      <c r="F147" s="143"/>
      <c r="G147" s="152"/>
      <c r="H147" s="152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</row>
    <row r="148" spans="1:26" ht="24.75">
      <c r="A148" s="143"/>
      <c r="B148" s="140"/>
      <c r="C148" s="141"/>
      <c r="D148" s="153"/>
      <c r="E148" s="142"/>
      <c r="F148" s="143"/>
      <c r="G148" s="150"/>
      <c r="H148" s="150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</row>
    <row r="149" spans="1:26" ht="24.75">
      <c r="A149" s="143"/>
      <c r="B149" s="140"/>
      <c r="C149" s="141"/>
      <c r="D149" s="153"/>
      <c r="E149" s="142"/>
      <c r="F149" s="143"/>
      <c r="G149" s="152"/>
      <c r="H149" s="152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</row>
    <row r="150" spans="1:26" ht="24.75">
      <c r="A150" s="143"/>
      <c r="B150" s="140"/>
      <c r="C150" s="141"/>
      <c r="D150" s="153"/>
      <c r="E150" s="142"/>
      <c r="F150" s="143"/>
      <c r="G150" s="150"/>
      <c r="H150" s="150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</row>
    <row r="151" spans="1:26" ht="24.75">
      <c r="A151" s="143"/>
      <c r="B151" s="140"/>
      <c r="C151" s="141"/>
      <c r="D151" s="153"/>
      <c r="E151" s="142"/>
      <c r="F151" s="143"/>
      <c r="G151" s="152"/>
      <c r="H151" s="152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</row>
    <row r="152" spans="1:26" ht="24.75">
      <c r="A152" s="143"/>
      <c r="B152" s="140"/>
      <c r="C152" s="141"/>
      <c r="D152" s="153"/>
      <c r="E152" s="142"/>
      <c r="F152" s="143"/>
      <c r="G152" s="150"/>
      <c r="H152" s="150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</row>
    <row r="153" spans="1:26" ht="24.75">
      <c r="A153" s="143"/>
      <c r="B153" s="140"/>
      <c r="C153" s="141"/>
      <c r="D153" s="153"/>
      <c r="E153" s="142"/>
      <c r="F153" s="143"/>
      <c r="G153" s="152"/>
      <c r="H153" s="152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</row>
    <row r="154" spans="1:26" ht="24.75">
      <c r="A154" s="143"/>
      <c r="B154" s="140"/>
      <c r="C154" s="141"/>
      <c r="D154" s="153"/>
      <c r="E154" s="142"/>
      <c r="F154" s="143"/>
      <c r="G154" s="150"/>
      <c r="H154" s="150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</row>
    <row r="155" spans="1:26" ht="24.75">
      <c r="A155" s="143"/>
      <c r="B155" s="140"/>
      <c r="C155" s="141"/>
      <c r="D155" s="153"/>
      <c r="E155" s="142"/>
      <c r="F155" s="143"/>
      <c r="G155" s="152"/>
      <c r="H155" s="152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</row>
    <row r="156" spans="1:26" ht="24.75">
      <c r="A156" s="143"/>
      <c r="B156" s="140"/>
      <c r="C156" s="141"/>
      <c r="D156" s="153"/>
      <c r="E156" s="142"/>
      <c r="F156" s="143"/>
      <c r="G156" s="150"/>
      <c r="H156" s="150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</row>
    <row r="157" spans="1:26" ht="24.75">
      <c r="A157" s="143"/>
      <c r="B157" s="140"/>
      <c r="C157" s="141"/>
      <c r="D157" s="153"/>
      <c r="E157" s="142"/>
      <c r="F157" s="143"/>
      <c r="G157" s="152"/>
      <c r="H157" s="152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</row>
    <row r="158" spans="1:26" ht="24.75">
      <c r="A158" s="143"/>
      <c r="B158" s="140"/>
      <c r="C158" s="141"/>
      <c r="D158" s="153"/>
      <c r="E158" s="142"/>
      <c r="F158" s="143"/>
      <c r="G158" s="150"/>
      <c r="H158" s="150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</row>
    <row r="159" spans="1:26" ht="24.75">
      <c r="A159" s="143"/>
      <c r="B159" s="140"/>
      <c r="C159" s="141"/>
      <c r="D159" s="153"/>
      <c r="E159" s="142"/>
      <c r="F159" s="143"/>
      <c r="G159" s="152"/>
      <c r="H159" s="152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</row>
    <row r="160" spans="1:26" ht="24.75">
      <c r="A160" s="143"/>
      <c r="B160" s="140"/>
      <c r="C160" s="141"/>
      <c r="D160" s="153"/>
      <c r="E160" s="142"/>
      <c r="F160" s="143"/>
      <c r="G160" s="150"/>
      <c r="H160" s="150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</row>
    <row r="161" spans="1:26" ht="24.75">
      <c r="A161" s="143"/>
      <c r="B161" s="140"/>
      <c r="C161" s="141"/>
      <c r="D161" s="153"/>
      <c r="E161" s="142"/>
      <c r="F161" s="143"/>
      <c r="G161" s="152"/>
      <c r="H161" s="152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</row>
    <row r="162" spans="1:26" ht="24.75">
      <c r="A162" s="143"/>
      <c r="B162" s="140"/>
      <c r="C162" s="141"/>
      <c r="D162" s="153"/>
      <c r="E162" s="142"/>
      <c r="F162" s="143"/>
      <c r="G162" s="150"/>
      <c r="H162" s="150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</row>
    <row r="163" spans="1:26" ht="24.75">
      <c r="A163" s="143"/>
      <c r="B163" s="140"/>
      <c r="C163" s="141"/>
      <c r="D163" s="153"/>
      <c r="E163" s="142"/>
      <c r="F163" s="143"/>
      <c r="G163" s="152"/>
      <c r="H163" s="152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</row>
    <row r="164" spans="1:26" ht="24.75">
      <c r="A164" s="143"/>
      <c r="B164" s="140"/>
      <c r="C164" s="141"/>
      <c r="D164" s="153"/>
      <c r="E164" s="142"/>
      <c r="F164" s="143"/>
      <c r="G164" s="150"/>
      <c r="H164" s="150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</row>
    <row r="165" spans="1:26" ht="24.75">
      <c r="A165" s="143"/>
      <c r="B165" s="140"/>
      <c r="C165" s="141"/>
      <c r="D165" s="153"/>
      <c r="E165" s="142"/>
      <c r="F165" s="143"/>
      <c r="G165" s="152"/>
      <c r="H165" s="152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</row>
    <row r="166" spans="1:26" ht="24.75">
      <c r="A166" s="143"/>
      <c r="B166" s="140"/>
      <c r="C166" s="141"/>
      <c r="D166" s="153"/>
      <c r="E166" s="142"/>
      <c r="F166" s="143"/>
      <c r="G166" s="150"/>
      <c r="H166" s="150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</row>
    <row r="167" spans="1:26" ht="24.75">
      <c r="A167" s="143"/>
      <c r="B167" s="140"/>
      <c r="C167" s="141"/>
      <c r="D167" s="153"/>
      <c r="E167" s="142"/>
      <c r="F167" s="143"/>
      <c r="G167" s="152"/>
      <c r="H167" s="152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</row>
    <row r="168" spans="1:26" ht="24.75">
      <c r="A168" s="143"/>
      <c r="B168" s="140"/>
      <c r="C168" s="141"/>
      <c r="D168" s="153"/>
      <c r="E168" s="142"/>
      <c r="F168" s="143"/>
      <c r="G168" s="150"/>
      <c r="H168" s="150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</row>
    <row r="169" spans="1:26" ht="24.75">
      <c r="A169" s="143"/>
      <c r="B169" s="140"/>
      <c r="C169" s="141"/>
      <c r="D169" s="153"/>
      <c r="E169" s="142"/>
      <c r="F169" s="143"/>
      <c r="G169" s="152"/>
      <c r="H169" s="152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</row>
    <row r="170" spans="1:26" ht="24.75">
      <c r="A170" s="143"/>
      <c r="B170" s="140"/>
      <c r="C170" s="141"/>
      <c r="D170" s="153"/>
      <c r="E170" s="142"/>
      <c r="F170" s="143"/>
      <c r="G170" s="150"/>
      <c r="H170" s="150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</row>
    <row r="171" spans="1:26" ht="24.75">
      <c r="A171" s="143"/>
      <c r="B171" s="140"/>
      <c r="C171" s="141"/>
      <c r="D171" s="153"/>
      <c r="E171" s="142"/>
      <c r="F171" s="143"/>
      <c r="G171" s="152"/>
      <c r="H171" s="152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</row>
    <row r="172" spans="1:26" ht="24.75">
      <c r="A172" s="143"/>
      <c r="B172" s="140"/>
      <c r="C172" s="141"/>
      <c r="D172" s="153"/>
      <c r="E172" s="142"/>
      <c r="F172" s="143"/>
      <c r="G172" s="150"/>
      <c r="H172" s="150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</row>
    <row r="173" spans="1:26" ht="24.75">
      <c r="A173" s="143"/>
      <c r="B173" s="140"/>
      <c r="C173" s="141"/>
      <c r="D173" s="153"/>
      <c r="E173" s="142"/>
      <c r="F173" s="143"/>
      <c r="G173" s="152"/>
      <c r="H173" s="152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</row>
    <row r="174" spans="1:26" ht="24.75">
      <c r="A174" s="143"/>
      <c r="B174" s="140"/>
      <c r="C174" s="141"/>
      <c r="D174" s="153"/>
      <c r="E174" s="142"/>
      <c r="F174" s="143"/>
      <c r="G174" s="150"/>
      <c r="H174" s="150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</row>
    <row r="175" spans="1:26" ht="24.75">
      <c r="A175" s="143"/>
      <c r="B175" s="140"/>
      <c r="C175" s="141"/>
      <c r="D175" s="153"/>
      <c r="E175" s="142"/>
      <c r="F175" s="143"/>
      <c r="G175" s="152"/>
      <c r="H175" s="152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</row>
    <row r="176" spans="1:26" ht="24.75">
      <c r="A176" s="143"/>
      <c r="B176" s="140"/>
      <c r="C176" s="141"/>
      <c r="D176" s="153"/>
      <c r="E176" s="142"/>
      <c r="F176" s="143"/>
      <c r="G176" s="150"/>
      <c r="H176" s="150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</row>
    <row r="177" spans="1:26" ht="24.75">
      <c r="A177" s="143"/>
      <c r="B177" s="140"/>
      <c r="C177" s="141"/>
      <c r="D177" s="153"/>
      <c r="E177" s="142"/>
      <c r="F177" s="143"/>
      <c r="G177" s="152"/>
      <c r="H177" s="152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</row>
    <row r="178" spans="1:26" ht="24.75">
      <c r="A178" s="143"/>
      <c r="B178" s="140"/>
      <c r="C178" s="141"/>
      <c r="D178" s="153"/>
      <c r="E178" s="142"/>
      <c r="F178" s="143"/>
      <c r="G178" s="150"/>
      <c r="H178" s="150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</row>
    <row r="179" spans="1:26" ht="24.75">
      <c r="A179" s="143"/>
      <c r="B179" s="140"/>
      <c r="C179" s="141"/>
      <c r="D179" s="153"/>
      <c r="E179" s="142"/>
      <c r="F179" s="143"/>
      <c r="G179" s="152"/>
      <c r="H179" s="152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</row>
    <row r="180" spans="1:26" ht="24.75">
      <c r="A180" s="143"/>
      <c r="B180" s="140"/>
      <c r="C180" s="141"/>
      <c r="D180" s="153"/>
      <c r="E180" s="142"/>
      <c r="F180" s="143"/>
      <c r="G180" s="150"/>
      <c r="H180" s="150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</row>
    <row r="181" spans="1:26" ht="24.75">
      <c r="A181" s="143"/>
      <c r="B181" s="140"/>
      <c r="C181" s="141"/>
      <c r="D181" s="153"/>
      <c r="E181" s="142"/>
      <c r="F181" s="143"/>
      <c r="G181" s="152"/>
      <c r="H181" s="152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</row>
    <row r="182" spans="1:26" ht="24.75">
      <c r="A182" s="143"/>
      <c r="B182" s="140"/>
      <c r="C182" s="141"/>
      <c r="D182" s="153"/>
      <c r="E182" s="142"/>
      <c r="F182" s="143"/>
      <c r="G182" s="150"/>
      <c r="H182" s="150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</row>
    <row r="183" spans="1:26" ht="24.75">
      <c r="A183" s="143"/>
      <c r="B183" s="140"/>
      <c r="C183" s="141"/>
      <c r="D183" s="153"/>
      <c r="E183" s="142"/>
      <c r="F183" s="143"/>
      <c r="G183" s="152"/>
      <c r="H183" s="152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</row>
    <row r="184" spans="1:26" ht="24.75">
      <c r="A184" s="143"/>
      <c r="B184" s="140"/>
      <c r="C184" s="141"/>
      <c r="D184" s="153"/>
      <c r="E184" s="142"/>
      <c r="F184" s="143"/>
      <c r="G184" s="150"/>
      <c r="H184" s="150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</row>
    <row r="185" spans="1:26" ht="24.75">
      <c r="A185" s="143"/>
      <c r="B185" s="140"/>
      <c r="C185" s="141"/>
      <c r="D185" s="153"/>
      <c r="E185" s="142"/>
      <c r="F185" s="143"/>
      <c r="G185" s="152"/>
      <c r="H185" s="152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</row>
    <row r="186" spans="1:26" ht="24.75">
      <c r="A186" s="143"/>
      <c r="B186" s="140"/>
      <c r="C186" s="141"/>
      <c r="D186" s="153"/>
      <c r="E186" s="142"/>
      <c r="F186" s="143"/>
      <c r="G186" s="150"/>
      <c r="H186" s="150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</row>
    <row r="187" spans="1:26" ht="24.75">
      <c r="A187" s="143"/>
      <c r="B187" s="140"/>
      <c r="C187" s="141"/>
      <c r="D187" s="153"/>
      <c r="E187" s="142"/>
      <c r="F187" s="143"/>
      <c r="G187" s="152"/>
      <c r="H187" s="152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</row>
    <row r="188" spans="1:26" ht="24.75">
      <c r="A188" s="143"/>
      <c r="B188" s="140"/>
      <c r="C188" s="141"/>
      <c r="D188" s="153"/>
      <c r="E188" s="142"/>
      <c r="F188" s="143"/>
      <c r="G188" s="150"/>
      <c r="H188" s="150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</row>
    <row r="189" spans="1:26" ht="24.75">
      <c r="A189" s="143"/>
      <c r="B189" s="140"/>
      <c r="C189" s="141"/>
      <c r="D189" s="153"/>
      <c r="E189" s="142"/>
      <c r="F189" s="143"/>
      <c r="G189" s="152"/>
      <c r="H189" s="152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</row>
    <row r="190" spans="1:26" ht="24.75">
      <c r="A190" s="143"/>
      <c r="B190" s="140"/>
      <c r="C190" s="141"/>
      <c r="D190" s="153"/>
      <c r="E190" s="142"/>
      <c r="F190" s="143"/>
      <c r="G190" s="150"/>
      <c r="H190" s="150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</row>
    <row r="191" spans="1:26" ht="24.75">
      <c r="A191" s="143"/>
      <c r="B191" s="140"/>
      <c r="C191" s="141"/>
      <c r="D191" s="153"/>
      <c r="E191" s="142"/>
      <c r="F191" s="143"/>
      <c r="G191" s="152"/>
      <c r="H191" s="152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</row>
    <row r="192" spans="1:26" ht="24.75">
      <c r="A192" s="143"/>
      <c r="B192" s="140"/>
      <c r="C192" s="141"/>
      <c r="D192" s="153"/>
      <c r="E192" s="142"/>
      <c r="F192" s="143"/>
      <c r="G192" s="150"/>
      <c r="H192" s="150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</row>
    <row r="193" spans="1:26" ht="24.75">
      <c r="A193" s="143"/>
      <c r="B193" s="140"/>
      <c r="C193" s="141"/>
      <c r="D193" s="153"/>
      <c r="E193" s="142"/>
      <c r="F193" s="143"/>
      <c r="G193" s="152"/>
      <c r="H193" s="152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</row>
    <row r="194" spans="1:26" ht="24.75">
      <c r="A194" s="143"/>
      <c r="B194" s="140"/>
      <c r="C194" s="141"/>
      <c r="D194" s="153"/>
      <c r="E194" s="142"/>
      <c r="F194" s="143"/>
      <c r="G194" s="150"/>
      <c r="H194" s="150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</row>
    <row r="195" spans="1:26" ht="24.75">
      <c r="A195" s="143"/>
      <c r="B195" s="140"/>
      <c r="C195" s="141"/>
      <c r="D195" s="153"/>
      <c r="E195" s="142"/>
      <c r="F195" s="143"/>
      <c r="G195" s="152"/>
      <c r="H195" s="152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</row>
    <row r="196" spans="1:26" ht="24.75">
      <c r="A196" s="143"/>
      <c r="B196" s="140"/>
      <c r="C196" s="141"/>
      <c r="D196" s="153"/>
      <c r="E196" s="142"/>
      <c r="F196" s="143"/>
      <c r="G196" s="150"/>
      <c r="H196" s="150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</row>
    <row r="197" spans="1:26" ht="24.75">
      <c r="A197" s="143"/>
      <c r="B197" s="140"/>
      <c r="C197" s="141"/>
      <c r="D197" s="153"/>
      <c r="E197" s="142"/>
      <c r="F197" s="143"/>
      <c r="G197" s="152"/>
      <c r="H197" s="152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</row>
    <row r="198" spans="1:26" ht="24.75">
      <c r="A198" s="143"/>
      <c r="B198" s="140"/>
      <c r="C198" s="141"/>
      <c r="D198" s="153"/>
      <c r="E198" s="142"/>
      <c r="F198" s="143"/>
      <c r="G198" s="150"/>
      <c r="H198" s="150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</row>
    <row r="199" spans="1:26" ht="24.75">
      <c r="A199" s="143"/>
      <c r="B199" s="140"/>
      <c r="C199" s="141"/>
      <c r="D199" s="153"/>
      <c r="E199" s="142"/>
      <c r="F199" s="143"/>
      <c r="G199" s="152"/>
      <c r="H199" s="152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</row>
    <row r="200" spans="1:26" ht="24.75">
      <c r="A200" s="143"/>
      <c r="B200" s="140"/>
      <c r="C200" s="141"/>
      <c r="D200" s="153"/>
      <c r="E200" s="142"/>
      <c r="F200" s="143"/>
      <c r="G200" s="150"/>
      <c r="H200" s="150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</row>
    <row r="201" spans="1:26" ht="24.75">
      <c r="A201" s="143"/>
      <c r="B201" s="140"/>
      <c r="C201" s="141"/>
      <c r="D201" s="153"/>
      <c r="E201" s="142"/>
      <c r="F201" s="143"/>
      <c r="G201" s="152"/>
      <c r="H201" s="152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</row>
    <row r="202" spans="1:26" ht="24.75">
      <c r="A202" s="143"/>
      <c r="B202" s="140"/>
      <c r="C202" s="141"/>
      <c r="D202" s="153"/>
      <c r="E202" s="142"/>
      <c r="F202" s="143"/>
      <c r="G202" s="150"/>
      <c r="H202" s="150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</row>
    <row r="203" spans="1:26" ht="24.75">
      <c r="A203" s="143"/>
      <c r="B203" s="140"/>
      <c r="C203" s="141"/>
      <c r="D203" s="153"/>
      <c r="E203" s="142"/>
      <c r="F203" s="143"/>
      <c r="G203" s="152"/>
      <c r="H203" s="152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</row>
    <row r="204" spans="1:26" ht="24.75">
      <c r="A204" s="143"/>
      <c r="B204" s="140"/>
      <c r="C204" s="141"/>
      <c r="D204" s="153"/>
      <c r="E204" s="142"/>
      <c r="F204" s="143"/>
      <c r="G204" s="150"/>
      <c r="H204" s="150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</row>
    <row r="205" spans="1:26" ht="24.75">
      <c r="A205" s="143"/>
      <c r="B205" s="140"/>
      <c r="C205" s="141"/>
      <c r="D205" s="153"/>
      <c r="E205" s="142"/>
      <c r="F205" s="143"/>
      <c r="G205" s="152"/>
      <c r="H205" s="152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</row>
    <row r="206" spans="1:26" ht="24.75">
      <c r="A206" s="143"/>
      <c r="B206" s="140"/>
      <c r="C206" s="141"/>
      <c r="D206" s="153"/>
      <c r="E206" s="142"/>
      <c r="F206" s="143"/>
      <c r="G206" s="150"/>
      <c r="H206" s="150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</row>
    <row r="207" spans="1:26" ht="24.75">
      <c r="A207" s="143"/>
      <c r="B207" s="140"/>
      <c r="C207" s="141"/>
      <c r="D207" s="153"/>
      <c r="E207" s="142"/>
      <c r="F207" s="143"/>
      <c r="G207" s="152"/>
      <c r="H207" s="152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</row>
    <row r="208" spans="1:26" ht="24.75">
      <c r="A208" s="143"/>
      <c r="B208" s="140"/>
      <c r="C208" s="141"/>
      <c r="D208" s="153"/>
      <c r="E208" s="142"/>
      <c r="F208" s="143"/>
      <c r="G208" s="150"/>
      <c r="H208" s="150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</row>
    <row r="209" spans="1:26" ht="24.75">
      <c r="A209" s="143"/>
      <c r="B209" s="140"/>
      <c r="C209" s="141"/>
      <c r="D209" s="153"/>
      <c r="E209" s="142"/>
      <c r="F209" s="143"/>
      <c r="G209" s="152"/>
      <c r="H209" s="152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</row>
    <row r="210" spans="1:26" ht="24.75">
      <c r="A210" s="143"/>
      <c r="B210" s="140"/>
      <c r="C210" s="141"/>
      <c r="D210" s="153"/>
      <c r="E210" s="142"/>
      <c r="F210" s="143"/>
      <c r="G210" s="150"/>
      <c r="H210" s="150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</row>
    <row r="211" spans="1:26" ht="24.75">
      <c r="A211" s="143"/>
      <c r="B211" s="140"/>
      <c r="C211" s="141"/>
      <c r="D211" s="153"/>
      <c r="E211" s="142"/>
      <c r="F211" s="143"/>
      <c r="G211" s="152"/>
      <c r="H211" s="152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</row>
    <row r="212" spans="1:26" ht="24.75">
      <c r="A212" s="143"/>
      <c r="B212" s="140"/>
      <c r="C212" s="141"/>
      <c r="D212" s="153"/>
      <c r="E212" s="142"/>
      <c r="F212" s="143"/>
      <c r="G212" s="150"/>
      <c r="H212" s="150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</row>
    <row r="213" spans="1:26" ht="24.75">
      <c r="A213" s="143"/>
      <c r="B213" s="140"/>
      <c r="C213" s="141"/>
      <c r="D213" s="153"/>
      <c r="E213" s="142"/>
      <c r="F213" s="143"/>
      <c r="G213" s="152"/>
      <c r="H213" s="152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</row>
    <row r="214" spans="1:26" ht="24.75">
      <c r="A214" s="143"/>
      <c r="B214" s="140"/>
      <c r="C214" s="141"/>
      <c r="D214" s="153"/>
      <c r="E214" s="142"/>
      <c r="F214" s="143"/>
      <c r="G214" s="150"/>
      <c r="H214" s="150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</row>
    <row r="215" spans="1:26" ht="24.75">
      <c r="A215" s="143"/>
      <c r="B215" s="140"/>
      <c r="C215" s="141"/>
      <c r="D215" s="153"/>
      <c r="E215" s="142"/>
      <c r="F215" s="143"/>
      <c r="G215" s="152"/>
      <c r="H215" s="152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</row>
    <row r="216" spans="1:26" ht="24.75">
      <c r="A216" s="143"/>
      <c r="B216" s="140"/>
      <c r="C216" s="141"/>
      <c r="D216" s="153"/>
      <c r="E216" s="142"/>
      <c r="F216" s="143"/>
      <c r="G216" s="150"/>
      <c r="H216" s="150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</row>
    <row r="217" spans="1:26" ht="24.75">
      <c r="A217" s="143"/>
      <c r="B217" s="140"/>
      <c r="C217" s="141"/>
      <c r="D217" s="153"/>
      <c r="E217" s="142"/>
      <c r="F217" s="143"/>
      <c r="G217" s="152"/>
      <c r="H217" s="152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</row>
    <row r="218" spans="1:26" ht="24.75">
      <c r="A218" s="143"/>
      <c r="B218" s="140"/>
      <c r="C218" s="141"/>
      <c r="D218" s="153"/>
      <c r="E218" s="142"/>
      <c r="F218" s="143"/>
      <c r="G218" s="150"/>
      <c r="H218" s="150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</row>
    <row r="219" spans="1:26" ht="24.75">
      <c r="A219" s="143"/>
      <c r="B219" s="140"/>
      <c r="C219" s="141"/>
      <c r="D219" s="153"/>
      <c r="E219" s="142"/>
      <c r="F219" s="143"/>
      <c r="G219" s="152"/>
      <c r="H219" s="152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</row>
    <row r="220" spans="1:26" ht="24.75">
      <c r="A220" s="143"/>
      <c r="B220" s="140"/>
      <c r="C220" s="141"/>
      <c r="D220" s="153"/>
      <c r="E220" s="142"/>
      <c r="F220" s="143"/>
      <c r="G220" s="150"/>
      <c r="H220" s="150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</row>
    <row r="221" spans="1:26" ht="24.75">
      <c r="A221" s="143"/>
      <c r="B221" s="140"/>
      <c r="C221" s="141"/>
      <c r="D221" s="153"/>
      <c r="E221" s="142"/>
      <c r="F221" s="143"/>
      <c r="G221" s="152"/>
      <c r="H221" s="152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</row>
    <row r="222" spans="1:26" ht="24.75">
      <c r="A222" s="143"/>
      <c r="B222" s="140"/>
      <c r="C222" s="141"/>
      <c r="D222" s="153"/>
      <c r="E222" s="142"/>
      <c r="F222" s="143"/>
      <c r="G222" s="150"/>
      <c r="H222" s="150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</row>
    <row r="223" spans="1:26" ht="24.75">
      <c r="A223" s="143"/>
      <c r="B223" s="140"/>
      <c r="C223" s="141"/>
      <c r="D223" s="153"/>
      <c r="E223" s="142"/>
      <c r="F223" s="143"/>
      <c r="G223" s="152"/>
      <c r="H223" s="152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</row>
    <row r="224" spans="1:26" ht="24.75">
      <c r="A224" s="143"/>
      <c r="B224" s="140"/>
      <c r="C224" s="141"/>
      <c r="D224" s="153"/>
      <c r="E224" s="142"/>
      <c r="F224" s="143"/>
      <c r="G224" s="150"/>
      <c r="H224" s="150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</row>
    <row r="225" spans="1:26" ht="24.75">
      <c r="A225" s="143"/>
      <c r="B225" s="140"/>
      <c r="C225" s="141"/>
      <c r="D225" s="153"/>
      <c r="E225" s="142"/>
      <c r="F225" s="143"/>
      <c r="G225" s="152"/>
      <c r="H225" s="152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</row>
    <row r="226" spans="1:26" ht="24.75">
      <c r="A226" s="143"/>
      <c r="B226" s="140"/>
      <c r="C226" s="141"/>
      <c r="D226" s="153"/>
      <c r="E226" s="142"/>
      <c r="F226" s="143"/>
      <c r="G226" s="150"/>
      <c r="H226" s="150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</row>
    <row r="227" spans="1:26" ht="24.75">
      <c r="A227" s="143"/>
      <c r="B227" s="140"/>
      <c r="C227" s="141"/>
      <c r="D227" s="153"/>
      <c r="E227" s="142"/>
      <c r="F227" s="143"/>
      <c r="G227" s="152"/>
      <c r="H227" s="152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</row>
    <row r="228" spans="1:26" ht="24.75">
      <c r="A228" s="143"/>
      <c r="B228" s="140"/>
      <c r="C228" s="141"/>
      <c r="D228" s="153"/>
      <c r="E228" s="142"/>
      <c r="F228" s="143"/>
      <c r="G228" s="150"/>
      <c r="H228" s="150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</row>
    <row r="229" spans="1:26" ht="24.75">
      <c r="A229" s="143"/>
      <c r="B229" s="140"/>
      <c r="C229" s="141"/>
      <c r="D229" s="153"/>
      <c r="E229" s="142"/>
      <c r="F229" s="143"/>
      <c r="G229" s="152"/>
      <c r="H229" s="152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</row>
    <row r="230" spans="1:26" ht="24.75">
      <c r="A230" s="143"/>
      <c r="B230" s="140"/>
      <c r="C230" s="141"/>
      <c r="D230" s="153"/>
      <c r="E230" s="142"/>
      <c r="F230" s="143"/>
      <c r="G230" s="150"/>
      <c r="H230" s="150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</row>
    <row r="231" spans="1:26" ht="24.75">
      <c r="A231" s="143"/>
      <c r="B231" s="140"/>
      <c r="C231" s="141"/>
      <c r="D231" s="153"/>
      <c r="E231" s="142"/>
      <c r="F231" s="143"/>
      <c r="G231" s="152"/>
      <c r="H231" s="152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</row>
    <row r="232" spans="1:26" ht="24.75">
      <c r="A232" s="143"/>
      <c r="B232" s="140"/>
      <c r="C232" s="141"/>
      <c r="D232" s="153"/>
      <c r="E232" s="142"/>
      <c r="F232" s="143"/>
      <c r="G232" s="150"/>
      <c r="H232" s="150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</row>
    <row r="233" spans="1:26" ht="24.75">
      <c r="A233" s="143"/>
      <c r="B233" s="140"/>
      <c r="C233" s="141"/>
      <c r="D233" s="153"/>
      <c r="E233" s="142"/>
      <c r="F233" s="143"/>
      <c r="G233" s="152"/>
      <c r="H233" s="152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</row>
    <row r="234" spans="1:26" ht="24.75">
      <c r="A234" s="143"/>
      <c r="B234" s="140"/>
      <c r="C234" s="141"/>
      <c r="D234" s="153"/>
      <c r="E234" s="142"/>
      <c r="F234" s="143"/>
      <c r="G234" s="150"/>
      <c r="H234" s="150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</row>
    <row r="235" spans="1:26" ht="24.75">
      <c r="A235" s="143"/>
      <c r="B235" s="140"/>
      <c r="C235" s="141"/>
      <c r="D235" s="153"/>
      <c r="E235" s="142"/>
      <c r="F235" s="143"/>
      <c r="G235" s="152"/>
      <c r="H235" s="152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</row>
    <row r="236" spans="1:26" ht="24.75">
      <c r="A236" s="143"/>
      <c r="B236" s="140"/>
      <c r="C236" s="141"/>
      <c r="D236" s="153"/>
      <c r="E236" s="142"/>
      <c r="F236" s="143"/>
      <c r="G236" s="150"/>
      <c r="H236" s="150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</row>
    <row r="237" spans="1:26" ht="24.75">
      <c r="A237" s="143"/>
      <c r="B237" s="140"/>
      <c r="C237" s="141"/>
      <c r="D237" s="153"/>
      <c r="E237" s="142"/>
      <c r="F237" s="143"/>
      <c r="G237" s="152"/>
      <c r="H237" s="152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</row>
    <row r="238" spans="1:26" ht="24.75">
      <c r="A238" s="143"/>
      <c r="B238" s="140"/>
      <c r="C238" s="141"/>
      <c r="D238" s="153"/>
      <c r="E238" s="142"/>
      <c r="F238" s="143"/>
      <c r="G238" s="150"/>
      <c r="H238" s="150"/>
      <c r="I238" s="143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143"/>
      <c r="U238" s="143"/>
      <c r="V238" s="143"/>
      <c r="W238" s="143"/>
      <c r="X238" s="143"/>
      <c r="Y238" s="143"/>
      <c r="Z238" s="143"/>
    </row>
    <row r="239" spans="1:26" ht="24.75">
      <c r="A239" s="143"/>
      <c r="B239" s="140"/>
      <c r="C239" s="141"/>
      <c r="D239" s="153"/>
      <c r="E239" s="142"/>
      <c r="F239" s="143"/>
      <c r="G239" s="152"/>
      <c r="H239" s="152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143"/>
      <c r="U239" s="143"/>
      <c r="V239" s="143"/>
      <c r="W239" s="143"/>
      <c r="X239" s="143"/>
      <c r="Y239" s="143"/>
      <c r="Z239" s="143"/>
    </row>
    <row r="240" spans="1:26" ht="24.75">
      <c r="A240" s="143"/>
      <c r="B240" s="140"/>
      <c r="C240" s="141"/>
      <c r="D240" s="153"/>
      <c r="E240" s="142"/>
      <c r="F240" s="143"/>
      <c r="G240" s="150"/>
      <c r="H240" s="150"/>
      <c r="I240" s="143"/>
      <c r="J240" s="143"/>
      <c r="K240" s="143"/>
      <c r="L240" s="143"/>
      <c r="M240" s="143"/>
      <c r="N240" s="143"/>
      <c r="O240" s="143"/>
      <c r="P240" s="143"/>
      <c r="Q240" s="143"/>
      <c r="R240" s="143"/>
      <c r="S240" s="143"/>
      <c r="T240" s="143"/>
      <c r="U240" s="143"/>
      <c r="V240" s="143"/>
      <c r="W240" s="143"/>
      <c r="X240" s="143"/>
      <c r="Y240" s="143"/>
      <c r="Z240" s="143"/>
    </row>
    <row r="241" spans="1:26" ht="24.75">
      <c r="A241" s="143"/>
      <c r="B241" s="140"/>
      <c r="C241" s="141"/>
      <c r="D241" s="153"/>
      <c r="E241" s="142"/>
      <c r="F241" s="143"/>
      <c r="G241" s="152"/>
      <c r="H241" s="152"/>
      <c r="I241" s="143"/>
      <c r="J241" s="143"/>
      <c r="K241" s="143"/>
      <c r="L241" s="143"/>
      <c r="M241" s="143"/>
      <c r="N241" s="143"/>
      <c r="O241" s="143"/>
      <c r="P241" s="143"/>
      <c r="Q241" s="143"/>
      <c r="R241" s="143"/>
      <c r="S241" s="143"/>
      <c r="T241" s="143"/>
      <c r="U241" s="143"/>
      <c r="V241" s="143"/>
      <c r="W241" s="143"/>
      <c r="X241" s="143"/>
      <c r="Y241" s="143"/>
      <c r="Z241" s="143"/>
    </row>
    <row r="242" spans="1:26" ht="24.75">
      <c r="A242" s="143"/>
      <c r="B242" s="140"/>
      <c r="C242" s="141"/>
      <c r="D242" s="153"/>
      <c r="E242" s="142"/>
      <c r="F242" s="143"/>
      <c r="G242" s="150"/>
      <c r="H242" s="150"/>
      <c r="I242" s="143"/>
      <c r="J242" s="143"/>
      <c r="K242" s="143"/>
      <c r="L242" s="143"/>
      <c r="M242" s="143"/>
      <c r="N242" s="143"/>
      <c r="O242" s="143"/>
      <c r="P242" s="143"/>
      <c r="Q242" s="143"/>
      <c r="R242" s="143"/>
      <c r="S242" s="143"/>
      <c r="T242" s="143"/>
      <c r="U242" s="143"/>
      <c r="V242" s="143"/>
      <c r="W242" s="143"/>
      <c r="X242" s="143"/>
      <c r="Y242" s="143"/>
      <c r="Z242" s="143"/>
    </row>
    <row r="243" spans="1:26" ht="24.75">
      <c r="A243" s="143"/>
      <c r="B243" s="140"/>
      <c r="C243" s="141"/>
      <c r="D243" s="153"/>
      <c r="E243" s="142"/>
      <c r="F243" s="143"/>
      <c r="G243" s="152"/>
      <c r="H243" s="152"/>
      <c r="I243" s="143"/>
      <c r="J243" s="143"/>
      <c r="K243" s="143"/>
      <c r="L243" s="143"/>
      <c r="M243" s="143"/>
      <c r="N243" s="143"/>
      <c r="O243" s="143"/>
      <c r="P243" s="143"/>
      <c r="Q243" s="143"/>
      <c r="R243" s="143"/>
      <c r="S243" s="143"/>
      <c r="T243" s="143"/>
      <c r="U243" s="143"/>
      <c r="V243" s="143"/>
      <c r="W243" s="143"/>
      <c r="X243" s="143"/>
      <c r="Y243" s="143"/>
      <c r="Z243" s="143"/>
    </row>
    <row r="244" spans="1:26" ht="24.75">
      <c r="A244" s="143"/>
      <c r="B244" s="140"/>
      <c r="C244" s="141"/>
      <c r="D244" s="153"/>
      <c r="E244" s="142"/>
      <c r="F244" s="143"/>
      <c r="G244" s="150"/>
      <c r="H244" s="150"/>
      <c r="I244" s="143"/>
      <c r="J244" s="143"/>
      <c r="K244" s="143"/>
      <c r="L244" s="143"/>
      <c r="M244" s="143"/>
      <c r="N244" s="143"/>
      <c r="O244" s="143"/>
      <c r="P244" s="143"/>
      <c r="Q244" s="143"/>
      <c r="R244" s="143"/>
      <c r="S244" s="143"/>
      <c r="T244" s="143"/>
      <c r="U244" s="143"/>
      <c r="V244" s="143"/>
      <c r="W244" s="143"/>
      <c r="X244" s="143"/>
      <c r="Y244" s="143"/>
      <c r="Z244" s="143"/>
    </row>
    <row r="245" spans="1:26" ht="24.75">
      <c r="A245" s="143"/>
      <c r="B245" s="140"/>
      <c r="C245" s="141"/>
      <c r="D245" s="153"/>
      <c r="E245" s="142"/>
      <c r="F245" s="143"/>
      <c r="G245" s="152"/>
      <c r="H245" s="152"/>
      <c r="I245" s="143"/>
      <c r="J245" s="143"/>
      <c r="K245" s="143"/>
      <c r="L245" s="143"/>
      <c r="M245" s="143"/>
      <c r="N245" s="143"/>
      <c r="O245" s="143"/>
      <c r="P245" s="143"/>
      <c r="Q245" s="143"/>
      <c r="R245" s="143"/>
      <c r="S245" s="143"/>
      <c r="T245" s="143"/>
      <c r="U245" s="143"/>
      <c r="V245" s="143"/>
      <c r="W245" s="143"/>
      <c r="X245" s="143"/>
      <c r="Y245" s="143"/>
      <c r="Z245" s="143"/>
    </row>
    <row r="246" spans="1:26" ht="24.75">
      <c r="A246" s="143"/>
      <c r="B246" s="140"/>
      <c r="C246" s="141"/>
      <c r="D246" s="153"/>
      <c r="E246" s="142"/>
      <c r="F246" s="143"/>
      <c r="G246" s="150"/>
      <c r="H246" s="150"/>
      <c r="I246" s="143"/>
      <c r="J246" s="143"/>
      <c r="K246" s="143"/>
      <c r="L246" s="143"/>
      <c r="M246" s="143"/>
      <c r="N246" s="143"/>
      <c r="O246" s="143"/>
      <c r="P246" s="143"/>
      <c r="Q246" s="143"/>
      <c r="R246" s="143"/>
      <c r="S246" s="143"/>
      <c r="T246" s="143"/>
      <c r="U246" s="143"/>
      <c r="V246" s="143"/>
      <c r="W246" s="143"/>
      <c r="X246" s="143"/>
      <c r="Y246" s="143"/>
      <c r="Z246" s="143"/>
    </row>
    <row r="247" spans="1:26" ht="24.75">
      <c r="A247" s="143"/>
      <c r="B247" s="140"/>
      <c r="C247" s="141"/>
      <c r="D247" s="153"/>
      <c r="E247" s="142"/>
      <c r="F247" s="143"/>
      <c r="G247" s="152"/>
      <c r="H247" s="152"/>
      <c r="I247" s="143"/>
      <c r="J247" s="143"/>
      <c r="K247" s="143"/>
      <c r="L247" s="143"/>
      <c r="M247" s="143"/>
      <c r="N247" s="143"/>
      <c r="O247" s="143"/>
      <c r="P247" s="143"/>
      <c r="Q247" s="143"/>
      <c r="R247" s="143"/>
      <c r="S247" s="143"/>
      <c r="T247" s="143"/>
      <c r="U247" s="143"/>
      <c r="V247" s="143"/>
      <c r="W247" s="143"/>
      <c r="X247" s="143"/>
      <c r="Y247" s="143"/>
      <c r="Z247" s="143"/>
    </row>
    <row r="248" spans="1:26" ht="24.75">
      <c r="A248" s="143"/>
      <c r="B248" s="140"/>
      <c r="C248" s="141"/>
      <c r="D248" s="153"/>
      <c r="E248" s="142"/>
      <c r="F248" s="143"/>
      <c r="G248" s="150"/>
      <c r="H248" s="150"/>
      <c r="I248" s="143"/>
      <c r="J248" s="143"/>
      <c r="K248" s="143"/>
      <c r="L248" s="143"/>
      <c r="M248" s="143"/>
      <c r="N248" s="143"/>
      <c r="O248" s="143"/>
      <c r="P248" s="143"/>
      <c r="Q248" s="143"/>
      <c r="R248" s="143"/>
      <c r="S248" s="143"/>
      <c r="T248" s="143"/>
      <c r="U248" s="143"/>
      <c r="V248" s="143"/>
      <c r="W248" s="143"/>
      <c r="X248" s="143"/>
      <c r="Y248" s="143"/>
      <c r="Z248" s="143"/>
    </row>
    <row r="249" spans="1:26" ht="24.75">
      <c r="A249" s="143"/>
      <c r="B249" s="140"/>
      <c r="C249" s="141"/>
      <c r="D249" s="153"/>
      <c r="E249" s="142"/>
      <c r="F249" s="143"/>
      <c r="G249" s="152"/>
      <c r="H249" s="152"/>
      <c r="I249" s="143"/>
      <c r="J249" s="143"/>
      <c r="K249" s="143"/>
      <c r="L249" s="143"/>
      <c r="M249" s="143"/>
      <c r="N249" s="143"/>
      <c r="O249" s="143"/>
      <c r="P249" s="143"/>
      <c r="Q249" s="143"/>
      <c r="R249" s="143"/>
      <c r="S249" s="143"/>
      <c r="T249" s="143"/>
      <c r="U249" s="143"/>
      <c r="V249" s="143"/>
      <c r="W249" s="143"/>
      <c r="X249" s="143"/>
      <c r="Y249" s="143"/>
      <c r="Z249" s="143"/>
    </row>
    <row r="250" spans="1:26" ht="24.75">
      <c r="A250" s="143"/>
      <c r="B250" s="140"/>
      <c r="C250" s="141"/>
      <c r="D250" s="153"/>
      <c r="E250" s="142"/>
      <c r="F250" s="143"/>
      <c r="G250" s="150"/>
      <c r="H250" s="150"/>
      <c r="I250" s="143"/>
      <c r="J250" s="143"/>
      <c r="K250" s="143"/>
      <c r="L250" s="143"/>
      <c r="M250" s="143"/>
      <c r="N250" s="143"/>
      <c r="O250" s="143"/>
      <c r="P250" s="143"/>
      <c r="Q250" s="143"/>
      <c r="R250" s="143"/>
      <c r="S250" s="143"/>
      <c r="T250" s="143"/>
      <c r="U250" s="143"/>
      <c r="V250" s="143"/>
      <c r="W250" s="143"/>
      <c r="X250" s="143"/>
      <c r="Y250" s="143"/>
      <c r="Z250" s="143"/>
    </row>
    <row r="251" spans="1:26" ht="24.75">
      <c r="A251" s="143"/>
      <c r="B251" s="140"/>
      <c r="C251" s="141"/>
      <c r="D251" s="153"/>
      <c r="E251" s="142"/>
      <c r="F251" s="143"/>
      <c r="G251" s="152"/>
      <c r="H251" s="152"/>
      <c r="I251" s="143"/>
      <c r="J251" s="143"/>
      <c r="K251" s="143"/>
      <c r="L251" s="143"/>
      <c r="M251" s="143"/>
      <c r="N251" s="143"/>
      <c r="O251" s="143"/>
      <c r="P251" s="143"/>
      <c r="Q251" s="143"/>
      <c r="R251" s="143"/>
      <c r="S251" s="143"/>
      <c r="T251" s="143"/>
      <c r="U251" s="143"/>
      <c r="V251" s="143"/>
      <c r="W251" s="143"/>
      <c r="X251" s="143"/>
      <c r="Y251" s="143"/>
      <c r="Z251" s="143"/>
    </row>
    <row r="252" spans="1:26" ht="24.75">
      <c r="A252" s="143"/>
      <c r="B252" s="140"/>
      <c r="C252" s="141"/>
      <c r="D252" s="153"/>
      <c r="E252" s="142"/>
      <c r="F252" s="143"/>
      <c r="G252" s="150"/>
      <c r="H252" s="150"/>
      <c r="I252" s="143"/>
      <c r="J252" s="143"/>
      <c r="K252" s="143"/>
      <c r="L252" s="143"/>
      <c r="M252" s="143"/>
      <c r="N252" s="143"/>
      <c r="O252" s="143"/>
      <c r="P252" s="143"/>
      <c r="Q252" s="143"/>
      <c r="R252" s="143"/>
      <c r="S252" s="143"/>
      <c r="T252" s="143"/>
      <c r="U252" s="143"/>
      <c r="V252" s="143"/>
      <c r="W252" s="143"/>
      <c r="X252" s="143"/>
      <c r="Y252" s="143"/>
      <c r="Z252" s="143"/>
    </row>
    <row r="253" spans="1:26" ht="24.75">
      <c r="A253" s="143"/>
      <c r="B253" s="140"/>
      <c r="C253" s="141"/>
      <c r="D253" s="153"/>
      <c r="E253" s="142"/>
      <c r="F253" s="143"/>
      <c r="G253" s="152"/>
      <c r="H253" s="152"/>
      <c r="I253" s="143"/>
      <c r="J253" s="143"/>
      <c r="K253" s="143"/>
      <c r="L253" s="143"/>
      <c r="M253" s="143"/>
      <c r="N253" s="143"/>
      <c r="O253" s="143"/>
      <c r="P253" s="143"/>
      <c r="Q253" s="143"/>
      <c r="R253" s="143"/>
      <c r="S253" s="143"/>
      <c r="T253" s="143"/>
      <c r="U253" s="143"/>
      <c r="V253" s="143"/>
      <c r="W253" s="143"/>
      <c r="X253" s="143"/>
      <c r="Y253" s="143"/>
      <c r="Z253" s="143"/>
    </row>
    <row r="254" spans="1:26" ht="24.75">
      <c r="A254" s="143"/>
      <c r="B254" s="140"/>
      <c r="C254" s="141"/>
      <c r="D254" s="153"/>
      <c r="E254" s="142"/>
      <c r="F254" s="143"/>
      <c r="G254" s="150"/>
      <c r="H254" s="150"/>
      <c r="I254" s="143"/>
      <c r="J254" s="143"/>
      <c r="K254" s="143"/>
      <c r="L254" s="143"/>
      <c r="M254" s="143"/>
      <c r="N254" s="143"/>
      <c r="O254" s="143"/>
      <c r="P254" s="143"/>
      <c r="Q254" s="143"/>
      <c r="R254" s="143"/>
      <c r="S254" s="143"/>
      <c r="T254" s="143"/>
      <c r="U254" s="143"/>
      <c r="V254" s="143"/>
      <c r="W254" s="143"/>
      <c r="X254" s="143"/>
      <c r="Y254" s="143"/>
      <c r="Z254" s="143"/>
    </row>
    <row r="255" spans="1:26" ht="24.75">
      <c r="A255" s="143"/>
      <c r="B255" s="140"/>
      <c r="C255" s="141"/>
      <c r="D255" s="153"/>
      <c r="E255" s="142"/>
      <c r="F255" s="143"/>
      <c r="G255" s="152"/>
      <c r="H255" s="152"/>
      <c r="I255" s="143"/>
      <c r="J255" s="143"/>
      <c r="K255" s="143"/>
      <c r="L255" s="143"/>
      <c r="M255" s="143"/>
      <c r="N255" s="143"/>
      <c r="O255" s="143"/>
      <c r="P255" s="143"/>
      <c r="Q255" s="143"/>
      <c r="R255" s="143"/>
      <c r="S255" s="143"/>
      <c r="T255" s="143"/>
      <c r="U255" s="143"/>
      <c r="V255" s="143"/>
      <c r="W255" s="143"/>
      <c r="X255" s="143"/>
      <c r="Y255" s="143"/>
      <c r="Z255" s="143"/>
    </row>
    <row r="256" spans="1:26" ht="24.75">
      <c r="A256" s="143"/>
      <c r="B256" s="140"/>
      <c r="C256" s="141"/>
      <c r="D256" s="153"/>
      <c r="E256" s="142"/>
      <c r="F256" s="143"/>
      <c r="G256" s="150"/>
      <c r="H256" s="150"/>
      <c r="I256" s="143"/>
      <c r="J256" s="143"/>
      <c r="K256" s="143"/>
      <c r="L256" s="143"/>
      <c r="M256" s="143"/>
      <c r="N256" s="143"/>
      <c r="O256" s="143"/>
      <c r="P256" s="143"/>
      <c r="Q256" s="143"/>
      <c r="R256" s="143"/>
      <c r="S256" s="143"/>
      <c r="T256" s="143"/>
      <c r="U256" s="143"/>
      <c r="V256" s="143"/>
      <c r="W256" s="143"/>
      <c r="X256" s="143"/>
      <c r="Y256" s="143"/>
      <c r="Z256" s="143"/>
    </row>
    <row r="257" spans="1:26" ht="24.75">
      <c r="A257" s="143"/>
      <c r="B257" s="140"/>
      <c r="C257" s="141"/>
      <c r="D257" s="153"/>
      <c r="E257" s="142"/>
      <c r="F257" s="143"/>
      <c r="G257" s="152"/>
      <c r="H257" s="152"/>
      <c r="I257" s="143"/>
      <c r="J257" s="143"/>
      <c r="K257" s="143"/>
      <c r="L257" s="143"/>
      <c r="M257" s="143"/>
      <c r="N257" s="143"/>
      <c r="O257" s="143"/>
      <c r="P257" s="143"/>
      <c r="Q257" s="143"/>
      <c r="R257" s="143"/>
      <c r="S257" s="143"/>
      <c r="T257" s="143"/>
      <c r="U257" s="143"/>
      <c r="V257" s="143"/>
      <c r="W257" s="143"/>
      <c r="X257" s="143"/>
      <c r="Y257" s="143"/>
      <c r="Z257" s="143"/>
    </row>
    <row r="258" spans="1:26" ht="24.75">
      <c r="A258" s="143"/>
      <c r="B258" s="140"/>
      <c r="C258" s="141"/>
      <c r="D258" s="153"/>
      <c r="E258" s="142"/>
      <c r="F258" s="143"/>
      <c r="G258" s="150"/>
      <c r="H258" s="150"/>
      <c r="I258" s="143"/>
      <c r="J258" s="143"/>
      <c r="K258" s="143"/>
      <c r="L258" s="143"/>
      <c r="M258" s="143"/>
      <c r="N258" s="143"/>
      <c r="O258" s="143"/>
      <c r="P258" s="143"/>
      <c r="Q258" s="143"/>
      <c r="R258" s="143"/>
      <c r="S258" s="143"/>
      <c r="T258" s="143"/>
      <c r="U258" s="143"/>
      <c r="V258" s="143"/>
      <c r="W258" s="143"/>
      <c r="X258" s="143"/>
      <c r="Y258" s="143"/>
      <c r="Z258" s="143"/>
    </row>
    <row r="259" spans="1:26" ht="24.75">
      <c r="A259" s="143"/>
      <c r="B259" s="140"/>
      <c r="C259" s="141"/>
      <c r="D259" s="153"/>
      <c r="E259" s="142"/>
      <c r="F259" s="143"/>
      <c r="G259" s="152"/>
      <c r="H259" s="152"/>
      <c r="I259" s="143"/>
      <c r="J259" s="143"/>
      <c r="K259" s="143"/>
      <c r="L259" s="143"/>
      <c r="M259" s="143"/>
      <c r="N259" s="143"/>
      <c r="O259" s="143"/>
      <c r="P259" s="143"/>
      <c r="Q259" s="143"/>
      <c r="R259" s="143"/>
      <c r="S259" s="143"/>
      <c r="T259" s="143"/>
      <c r="U259" s="143"/>
      <c r="V259" s="143"/>
      <c r="W259" s="143"/>
      <c r="X259" s="143"/>
      <c r="Y259" s="143"/>
      <c r="Z259" s="143"/>
    </row>
    <row r="260" spans="1:26" ht="24.75">
      <c r="A260" s="143"/>
      <c r="B260" s="140"/>
      <c r="C260" s="141"/>
      <c r="D260" s="153"/>
      <c r="E260" s="142"/>
      <c r="F260" s="143"/>
      <c r="G260" s="150"/>
      <c r="H260" s="150"/>
      <c r="I260" s="143"/>
      <c r="J260" s="143"/>
      <c r="K260" s="143"/>
      <c r="L260" s="143"/>
      <c r="M260" s="143"/>
      <c r="N260" s="143"/>
      <c r="O260" s="143"/>
      <c r="P260" s="143"/>
      <c r="Q260" s="143"/>
      <c r="R260" s="143"/>
      <c r="S260" s="143"/>
      <c r="T260" s="143"/>
      <c r="U260" s="143"/>
      <c r="V260" s="143"/>
      <c r="W260" s="143"/>
      <c r="X260" s="143"/>
      <c r="Y260" s="143"/>
      <c r="Z260" s="143"/>
    </row>
    <row r="261" spans="1:26" ht="24.75">
      <c r="A261" s="143"/>
      <c r="B261" s="140"/>
      <c r="C261" s="141"/>
      <c r="D261" s="153"/>
      <c r="E261" s="142"/>
      <c r="F261" s="143"/>
      <c r="G261" s="152"/>
      <c r="H261" s="152"/>
      <c r="I261" s="143"/>
      <c r="J261" s="143"/>
      <c r="K261" s="143"/>
      <c r="L261" s="143"/>
      <c r="M261" s="143"/>
      <c r="N261" s="143"/>
      <c r="O261" s="143"/>
      <c r="P261" s="143"/>
      <c r="Q261" s="143"/>
      <c r="R261" s="143"/>
      <c r="S261" s="143"/>
      <c r="T261" s="143"/>
      <c r="U261" s="143"/>
      <c r="V261" s="143"/>
      <c r="W261" s="143"/>
      <c r="X261" s="143"/>
      <c r="Y261" s="143"/>
      <c r="Z261" s="143"/>
    </row>
    <row r="262" spans="1:26" ht="24.75">
      <c r="A262" s="143"/>
      <c r="B262" s="140"/>
      <c r="C262" s="141"/>
      <c r="D262" s="153"/>
      <c r="E262" s="142"/>
      <c r="F262" s="143"/>
      <c r="G262" s="150"/>
      <c r="H262" s="150"/>
      <c r="I262" s="143"/>
      <c r="J262" s="143"/>
      <c r="K262" s="143"/>
      <c r="L262" s="143"/>
      <c r="M262" s="143"/>
      <c r="N262" s="143"/>
      <c r="O262" s="143"/>
      <c r="P262" s="143"/>
      <c r="Q262" s="143"/>
      <c r="R262" s="143"/>
      <c r="S262" s="143"/>
      <c r="T262" s="143"/>
      <c r="U262" s="143"/>
      <c r="V262" s="143"/>
      <c r="W262" s="143"/>
      <c r="X262" s="143"/>
      <c r="Y262" s="143"/>
      <c r="Z262" s="143"/>
    </row>
    <row r="263" spans="1:26" ht="24.75">
      <c r="A263" s="143"/>
      <c r="B263" s="140"/>
      <c r="C263" s="141"/>
      <c r="D263" s="153"/>
      <c r="E263" s="142"/>
      <c r="F263" s="143"/>
      <c r="G263" s="152"/>
      <c r="H263" s="152"/>
      <c r="I263" s="143"/>
      <c r="J263" s="143"/>
      <c r="K263" s="143"/>
      <c r="L263" s="143"/>
      <c r="M263" s="143"/>
      <c r="N263" s="143"/>
      <c r="O263" s="143"/>
      <c r="P263" s="143"/>
      <c r="Q263" s="143"/>
      <c r="R263" s="143"/>
      <c r="S263" s="143"/>
      <c r="T263" s="143"/>
      <c r="U263" s="143"/>
      <c r="V263" s="143"/>
      <c r="W263" s="143"/>
      <c r="X263" s="143"/>
      <c r="Y263" s="143"/>
      <c r="Z263" s="143"/>
    </row>
    <row r="264" spans="1:26" ht="24.75">
      <c r="A264" s="143"/>
      <c r="B264" s="140"/>
      <c r="C264" s="141"/>
      <c r="D264" s="153"/>
      <c r="E264" s="142"/>
      <c r="F264" s="143"/>
      <c r="G264" s="150"/>
      <c r="H264" s="150"/>
      <c r="I264" s="143"/>
      <c r="J264" s="143"/>
      <c r="K264" s="143"/>
      <c r="L264" s="143"/>
      <c r="M264" s="143"/>
      <c r="N264" s="143"/>
      <c r="O264" s="143"/>
      <c r="P264" s="143"/>
      <c r="Q264" s="143"/>
      <c r="R264" s="143"/>
      <c r="S264" s="143"/>
      <c r="T264" s="143"/>
      <c r="U264" s="143"/>
      <c r="V264" s="143"/>
      <c r="W264" s="143"/>
      <c r="X264" s="143"/>
      <c r="Y264" s="143"/>
      <c r="Z264" s="143"/>
    </row>
    <row r="265" spans="1:26" ht="24.75">
      <c r="A265" s="143"/>
      <c r="B265" s="140"/>
      <c r="C265" s="141"/>
      <c r="D265" s="153"/>
      <c r="E265" s="142"/>
      <c r="F265" s="143"/>
      <c r="G265" s="152"/>
      <c r="H265" s="152"/>
      <c r="I265" s="143"/>
      <c r="J265" s="143"/>
      <c r="K265" s="143"/>
      <c r="L265" s="143"/>
      <c r="M265" s="143"/>
      <c r="N265" s="143"/>
      <c r="O265" s="143"/>
      <c r="P265" s="143"/>
      <c r="Q265" s="143"/>
      <c r="R265" s="143"/>
      <c r="S265" s="143"/>
      <c r="T265" s="143"/>
      <c r="U265" s="143"/>
      <c r="V265" s="143"/>
      <c r="W265" s="143"/>
      <c r="X265" s="143"/>
      <c r="Y265" s="143"/>
      <c r="Z265" s="143"/>
    </row>
    <row r="266" spans="1:26" ht="24.75">
      <c r="A266" s="143"/>
      <c r="B266" s="140"/>
      <c r="C266" s="141"/>
      <c r="D266" s="153"/>
      <c r="E266" s="142"/>
      <c r="F266" s="143"/>
      <c r="G266" s="150"/>
      <c r="H266" s="150"/>
      <c r="I266" s="143"/>
      <c r="J266" s="143"/>
      <c r="K266" s="143"/>
      <c r="L266" s="143"/>
      <c r="M266" s="143"/>
      <c r="N266" s="143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  <c r="Z266" s="143"/>
    </row>
    <row r="267" spans="1:26" ht="24.75">
      <c r="A267" s="143"/>
      <c r="B267" s="140"/>
      <c r="C267" s="141"/>
      <c r="D267" s="153"/>
      <c r="E267" s="142"/>
      <c r="F267" s="143"/>
      <c r="G267" s="152"/>
      <c r="H267" s="152"/>
      <c r="I267" s="143"/>
      <c r="J267" s="143"/>
      <c r="K267" s="143"/>
      <c r="L267" s="143"/>
      <c r="M267" s="143"/>
      <c r="N267" s="143"/>
      <c r="O267" s="143"/>
      <c r="P267" s="143"/>
      <c r="Q267" s="143"/>
      <c r="R267" s="143"/>
      <c r="S267" s="143"/>
      <c r="T267" s="143"/>
      <c r="U267" s="143"/>
      <c r="V267" s="143"/>
      <c r="W267" s="143"/>
      <c r="X267" s="143"/>
      <c r="Y267" s="143"/>
      <c r="Z267" s="143"/>
    </row>
    <row r="268" spans="1:26" ht="24.75">
      <c r="A268" s="143"/>
      <c r="B268" s="140"/>
      <c r="C268" s="141"/>
      <c r="D268" s="153"/>
      <c r="E268" s="142"/>
      <c r="F268" s="143"/>
      <c r="G268" s="150"/>
      <c r="H268" s="150"/>
      <c r="I268" s="143"/>
      <c r="J268" s="143"/>
      <c r="K268" s="143"/>
      <c r="L268" s="143"/>
      <c r="M268" s="143"/>
      <c r="N268" s="143"/>
      <c r="O268" s="143"/>
      <c r="P268" s="143"/>
      <c r="Q268" s="143"/>
      <c r="R268" s="143"/>
      <c r="S268" s="143"/>
      <c r="T268" s="143"/>
      <c r="U268" s="143"/>
      <c r="V268" s="143"/>
      <c r="W268" s="143"/>
      <c r="X268" s="143"/>
      <c r="Y268" s="143"/>
      <c r="Z268" s="143"/>
    </row>
    <row r="269" spans="1:26" ht="24.75">
      <c r="A269" s="143"/>
      <c r="B269" s="140"/>
      <c r="C269" s="141"/>
      <c r="D269" s="153"/>
      <c r="E269" s="142"/>
      <c r="F269" s="143"/>
      <c r="G269" s="152"/>
      <c r="H269" s="152"/>
      <c r="I269" s="143"/>
      <c r="J269" s="143"/>
      <c r="K269" s="143"/>
      <c r="L269" s="143"/>
      <c r="M269" s="143"/>
      <c r="N269" s="143"/>
      <c r="O269" s="143"/>
      <c r="P269" s="143"/>
      <c r="Q269" s="143"/>
      <c r="R269" s="143"/>
      <c r="S269" s="143"/>
      <c r="T269" s="143"/>
      <c r="U269" s="143"/>
      <c r="V269" s="143"/>
      <c r="W269" s="143"/>
      <c r="X269" s="143"/>
      <c r="Y269" s="143"/>
      <c r="Z269" s="143"/>
    </row>
    <row r="270" spans="1:26" ht="24.75">
      <c r="A270" s="143"/>
      <c r="B270" s="140"/>
      <c r="C270" s="141"/>
      <c r="D270" s="153"/>
      <c r="E270" s="142"/>
      <c r="F270" s="143"/>
      <c r="G270" s="150"/>
      <c r="H270" s="150"/>
      <c r="I270" s="143"/>
      <c r="J270" s="143"/>
      <c r="K270" s="143"/>
      <c r="L270" s="143"/>
      <c r="M270" s="143"/>
      <c r="N270" s="143"/>
      <c r="O270" s="143"/>
      <c r="P270" s="143"/>
      <c r="Q270" s="143"/>
      <c r="R270" s="143"/>
      <c r="S270" s="143"/>
      <c r="T270" s="143"/>
      <c r="U270" s="143"/>
      <c r="V270" s="143"/>
      <c r="W270" s="143"/>
      <c r="X270" s="143"/>
      <c r="Y270" s="143"/>
      <c r="Z270" s="143"/>
    </row>
    <row r="271" spans="1:26" ht="24.75">
      <c r="A271" s="143"/>
      <c r="B271" s="140"/>
      <c r="C271" s="141"/>
      <c r="D271" s="153"/>
      <c r="E271" s="142"/>
      <c r="F271" s="143"/>
      <c r="G271" s="152"/>
      <c r="H271" s="152"/>
      <c r="I271" s="143"/>
      <c r="J271" s="143"/>
      <c r="K271" s="143"/>
      <c r="L271" s="143"/>
      <c r="M271" s="143"/>
      <c r="N271" s="143"/>
      <c r="O271" s="143"/>
      <c r="P271" s="143"/>
      <c r="Q271" s="143"/>
      <c r="R271" s="143"/>
      <c r="S271" s="143"/>
      <c r="T271" s="143"/>
      <c r="U271" s="143"/>
      <c r="V271" s="143"/>
      <c r="W271" s="143"/>
      <c r="X271" s="143"/>
      <c r="Y271" s="143"/>
      <c r="Z271" s="143"/>
    </row>
    <row r="272" spans="1:26" ht="24.75">
      <c r="A272" s="143"/>
      <c r="B272" s="140"/>
      <c r="C272" s="141"/>
      <c r="D272" s="153"/>
      <c r="E272" s="142"/>
      <c r="F272" s="143"/>
      <c r="G272" s="150"/>
      <c r="H272" s="150"/>
      <c r="I272" s="143"/>
      <c r="J272" s="143"/>
      <c r="K272" s="143"/>
      <c r="L272" s="143"/>
      <c r="M272" s="143"/>
      <c r="N272" s="143"/>
      <c r="O272" s="143"/>
      <c r="P272" s="143"/>
      <c r="Q272" s="143"/>
      <c r="R272" s="143"/>
      <c r="S272" s="143"/>
      <c r="T272" s="143"/>
      <c r="U272" s="143"/>
      <c r="V272" s="143"/>
      <c r="W272" s="143"/>
      <c r="X272" s="143"/>
      <c r="Y272" s="143"/>
      <c r="Z272" s="143"/>
    </row>
    <row r="273" spans="1:26" ht="24.75">
      <c r="A273" s="143"/>
      <c r="B273" s="140"/>
      <c r="C273" s="141"/>
      <c r="D273" s="153"/>
      <c r="E273" s="142"/>
      <c r="F273" s="143"/>
      <c r="G273" s="152"/>
      <c r="H273" s="152"/>
      <c r="I273" s="143"/>
      <c r="J273" s="143"/>
      <c r="K273" s="143"/>
      <c r="L273" s="143"/>
      <c r="M273" s="143"/>
      <c r="N273" s="143"/>
      <c r="O273" s="143"/>
      <c r="P273" s="143"/>
      <c r="Q273" s="143"/>
      <c r="R273" s="143"/>
      <c r="S273" s="143"/>
      <c r="T273" s="143"/>
      <c r="U273" s="143"/>
      <c r="V273" s="143"/>
      <c r="W273" s="143"/>
      <c r="X273" s="143"/>
      <c r="Y273" s="143"/>
      <c r="Z273" s="143"/>
    </row>
    <row r="274" spans="1:26" ht="24.75">
      <c r="A274" s="143"/>
      <c r="B274" s="140"/>
      <c r="C274" s="141"/>
      <c r="D274" s="153"/>
      <c r="E274" s="142"/>
      <c r="F274" s="143"/>
      <c r="G274" s="150"/>
      <c r="H274" s="150"/>
      <c r="I274" s="143"/>
      <c r="J274" s="143"/>
      <c r="K274" s="143"/>
      <c r="L274" s="143"/>
      <c r="M274" s="143"/>
      <c r="N274" s="143"/>
      <c r="O274" s="143"/>
      <c r="P274" s="143"/>
      <c r="Q274" s="143"/>
      <c r="R274" s="143"/>
      <c r="S274" s="143"/>
      <c r="T274" s="143"/>
      <c r="U274" s="143"/>
      <c r="V274" s="143"/>
      <c r="W274" s="143"/>
      <c r="X274" s="143"/>
      <c r="Y274" s="143"/>
      <c r="Z274" s="143"/>
    </row>
    <row r="275" spans="1:26" ht="24.75">
      <c r="A275" s="143"/>
      <c r="B275" s="140"/>
      <c r="C275" s="141"/>
      <c r="D275" s="153"/>
      <c r="E275" s="142"/>
      <c r="F275" s="143"/>
      <c r="G275" s="152"/>
      <c r="H275" s="152"/>
      <c r="I275" s="143"/>
      <c r="J275" s="143"/>
      <c r="K275" s="143"/>
      <c r="L275" s="143"/>
      <c r="M275" s="143"/>
      <c r="N275" s="143"/>
      <c r="O275" s="143"/>
      <c r="P275" s="143"/>
      <c r="Q275" s="143"/>
      <c r="R275" s="143"/>
      <c r="S275" s="143"/>
      <c r="T275" s="143"/>
      <c r="U275" s="143"/>
      <c r="V275" s="143"/>
      <c r="W275" s="143"/>
      <c r="X275" s="143"/>
      <c r="Y275" s="143"/>
      <c r="Z275" s="143"/>
    </row>
    <row r="276" spans="1:26" ht="24.75">
      <c r="A276" s="143"/>
      <c r="B276" s="140"/>
      <c r="C276" s="141"/>
      <c r="D276" s="153"/>
      <c r="E276" s="142"/>
      <c r="F276" s="143"/>
      <c r="G276" s="150"/>
      <c r="H276" s="150"/>
      <c r="I276" s="143"/>
      <c r="J276" s="143"/>
      <c r="K276" s="143"/>
      <c r="L276" s="143"/>
      <c r="M276" s="143"/>
      <c r="N276" s="143"/>
      <c r="O276" s="143"/>
      <c r="P276" s="143"/>
      <c r="Q276" s="143"/>
      <c r="R276" s="143"/>
      <c r="S276" s="143"/>
      <c r="T276" s="143"/>
      <c r="U276" s="143"/>
      <c r="V276" s="143"/>
      <c r="W276" s="143"/>
      <c r="X276" s="143"/>
      <c r="Y276" s="143"/>
      <c r="Z276" s="143"/>
    </row>
    <row r="277" spans="1:26" ht="24.75">
      <c r="A277" s="143"/>
      <c r="B277" s="140"/>
      <c r="C277" s="141"/>
      <c r="D277" s="153"/>
      <c r="E277" s="142"/>
      <c r="F277" s="143"/>
      <c r="G277" s="152"/>
      <c r="H277" s="152"/>
      <c r="I277" s="143"/>
      <c r="J277" s="143"/>
      <c r="K277" s="143"/>
      <c r="L277" s="143"/>
      <c r="M277" s="143"/>
      <c r="N277" s="143"/>
      <c r="O277" s="143"/>
      <c r="P277" s="143"/>
      <c r="Q277" s="143"/>
      <c r="R277" s="143"/>
      <c r="S277" s="143"/>
      <c r="T277" s="143"/>
      <c r="U277" s="143"/>
      <c r="V277" s="143"/>
      <c r="W277" s="143"/>
      <c r="X277" s="143"/>
      <c r="Y277" s="143"/>
      <c r="Z277" s="143"/>
    </row>
    <row r="278" spans="1:26" ht="24.75">
      <c r="A278" s="143"/>
      <c r="B278" s="140"/>
      <c r="C278" s="141"/>
      <c r="D278" s="153"/>
      <c r="E278" s="142"/>
      <c r="F278" s="143"/>
      <c r="G278" s="150"/>
      <c r="H278" s="150"/>
      <c r="I278" s="143"/>
      <c r="J278" s="143"/>
      <c r="K278" s="143"/>
      <c r="L278" s="143"/>
      <c r="M278" s="143"/>
      <c r="N278" s="143"/>
      <c r="O278" s="143"/>
      <c r="P278" s="143"/>
      <c r="Q278" s="143"/>
      <c r="R278" s="143"/>
      <c r="S278" s="143"/>
      <c r="T278" s="143"/>
      <c r="U278" s="143"/>
      <c r="V278" s="143"/>
      <c r="W278" s="143"/>
      <c r="X278" s="143"/>
      <c r="Y278" s="143"/>
      <c r="Z278" s="143"/>
    </row>
    <row r="279" spans="1:26" ht="24.75">
      <c r="A279" s="143"/>
      <c r="B279" s="140"/>
      <c r="C279" s="141"/>
      <c r="D279" s="153"/>
      <c r="E279" s="142"/>
      <c r="F279" s="143"/>
      <c r="G279" s="152"/>
      <c r="H279" s="152"/>
      <c r="I279" s="143"/>
      <c r="J279" s="143"/>
      <c r="K279" s="143"/>
      <c r="L279" s="143"/>
      <c r="M279" s="143"/>
      <c r="N279" s="143"/>
      <c r="O279" s="143"/>
      <c r="P279" s="143"/>
      <c r="Q279" s="143"/>
      <c r="R279" s="143"/>
      <c r="S279" s="143"/>
      <c r="T279" s="143"/>
      <c r="U279" s="143"/>
      <c r="V279" s="143"/>
      <c r="W279" s="143"/>
      <c r="X279" s="143"/>
      <c r="Y279" s="143"/>
      <c r="Z279" s="143"/>
    </row>
    <row r="280" spans="1:26" ht="24.75">
      <c r="A280" s="143"/>
      <c r="B280" s="140"/>
      <c r="C280" s="141"/>
      <c r="D280" s="153"/>
      <c r="E280" s="142"/>
      <c r="F280" s="143"/>
      <c r="G280" s="150"/>
      <c r="H280" s="150"/>
      <c r="I280" s="143"/>
      <c r="J280" s="143"/>
      <c r="K280" s="143"/>
      <c r="L280" s="143"/>
      <c r="M280" s="143"/>
      <c r="N280" s="143"/>
      <c r="O280" s="143"/>
      <c r="P280" s="143"/>
      <c r="Q280" s="143"/>
      <c r="R280" s="143"/>
      <c r="S280" s="143"/>
      <c r="T280" s="143"/>
      <c r="U280" s="143"/>
      <c r="V280" s="143"/>
      <c r="W280" s="143"/>
      <c r="X280" s="143"/>
      <c r="Y280" s="143"/>
      <c r="Z280" s="143"/>
    </row>
    <row r="281" spans="1:26" ht="24.75">
      <c r="A281" s="143"/>
      <c r="B281" s="140"/>
      <c r="C281" s="141"/>
      <c r="D281" s="153"/>
      <c r="E281" s="142"/>
      <c r="F281" s="143"/>
      <c r="G281" s="152"/>
      <c r="H281" s="152"/>
      <c r="I281" s="143"/>
      <c r="J281" s="143"/>
      <c r="K281" s="143"/>
      <c r="L281" s="143"/>
      <c r="M281" s="143"/>
      <c r="N281" s="143"/>
      <c r="O281" s="143"/>
      <c r="P281" s="143"/>
      <c r="Q281" s="143"/>
      <c r="R281" s="143"/>
      <c r="S281" s="143"/>
      <c r="T281" s="143"/>
      <c r="U281" s="143"/>
      <c r="V281" s="143"/>
      <c r="W281" s="143"/>
      <c r="X281" s="143"/>
      <c r="Y281" s="143"/>
      <c r="Z281" s="143"/>
    </row>
    <row r="282" spans="1:26" ht="24.75">
      <c r="A282" s="143"/>
      <c r="B282" s="140"/>
      <c r="C282" s="141"/>
      <c r="D282" s="153"/>
      <c r="E282" s="142"/>
      <c r="F282" s="143"/>
      <c r="G282" s="150"/>
      <c r="H282" s="150"/>
      <c r="I282" s="143"/>
      <c r="J282" s="143"/>
      <c r="K282" s="143"/>
      <c r="L282" s="143"/>
      <c r="M282" s="143"/>
      <c r="N282" s="143"/>
      <c r="O282" s="143"/>
      <c r="P282" s="143"/>
      <c r="Q282" s="143"/>
      <c r="R282" s="143"/>
      <c r="S282" s="143"/>
      <c r="T282" s="143"/>
      <c r="U282" s="143"/>
      <c r="V282" s="143"/>
      <c r="W282" s="143"/>
      <c r="X282" s="143"/>
      <c r="Y282" s="143"/>
      <c r="Z282" s="143"/>
    </row>
    <row r="283" spans="1:26" ht="24.75">
      <c r="A283" s="143"/>
      <c r="B283" s="140"/>
      <c r="C283" s="141"/>
      <c r="D283" s="153"/>
      <c r="E283" s="142"/>
      <c r="F283" s="143"/>
      <c r="G283" s="152"/>
      <c r="H283" s="152"/>
      <c r="I283" s="143"/>
      <c r="J283" s="143"/>
      <c r="K283" s="143"/>
      <c r="L283" s="143"/>
      <c r="M283" s="143"/>
      <c r="N283" s="143"/>
      <c r="O283" s="143"/>
      <c r="P283" s="143"/>
      <c r="Q283" s="143"/>
      <c r="R283" s="143"/>
      <c r="S283" s="143"/>
      <c r="T283" s="143"/>
      <c r="U283" s="143"/>
      <c r="V283" s="143"/>
      <c r="W283" s="143"/>
      <c r="X283" s="143"/>
      <c r="Y283" s="143"/>
      <c r="Z283" s="143"/>
    </row>
    <row r="284" spans="1:26" ht="24.75">
      <c r="A284" s="143"/>
      <c r="B284" s="140"/>
      <c r="C284" s="141"/>
      <c r="D284" s="153"/>
      <c r="E284" s="142"/>
      <c r="F284" s="143"/>
      <c r="G284" s="150"/>
      <c r="H284" s="150"/>
      <c r="I284" s="143"/>
      <c r="J284" s="143"/>
      <c r="K284" s="143"/>
      <c r="L284" s="143"/>
      <c r="M284" s="143"/>
      <c r="N284" s="143"/>
      <c r="O284" s="143"/>
      <c r="P284" s="143"/>
      <c r="Q284" s="143"/>
      <c r="R284" s="143"/>
      <c r="S284" s="143"/>
      <c r="T284" s="143"/>
      <c r="U284" s="143"/>
      <c r="V284" s="143"/>
      <c r="W284" s="143"/>
      <c r="X284" s="143"/>
      <c r="Y284" s="143"/>
      <c r="Z284" s="143"/>
    </row>
    <row r="285" spans="1:26" ht="24.75">
      <c r="A285" s="143"/>
      <c r="B285" s="140"/>
      <c r="C285" s="141"/>
      <c r="D285" s="153"/>
      <c r="E285" s="142"/>
      <c r="F285" s="143"/>
      <c r="G285" s="152"/>
      <c r="H285" s="152"/>
      <c r="I285" s="143"/>
      <c r="J285" s="143"/>
      <c r="K285" s="143"/>
      <c r="L285" s="143"/>
      <c r="M285" s="143"/>
      <c r="N285" s="143"/>
      <c r="O285" s="143"/>
      <c r="P285" s="143"/>
      <c r="Q285" s="143"/>
      <c r="R285" s="143"/>
      <c r="S285" s="143"/>
      <c r="T285" s="143"/>
      <c r="U285" s="143"/>
      <c r="V285" s="143"/>
      <c r="W285" s="143"/>
      <c r="X285" s="143"/>
      <c r="Y285" s="143"/>
      <c r="Z285" s="143"/>
    </row>
    <row r="286" spans="1:26" ht="24.75">
      <c r="A286" s="143"/>
      <c r="B286" s="140"/>
      <c r="C286" s="141"/>
      <c r="D286" s="153"/>
      <c r="E286" s="142"/>
      <c r="F286" s="143"/>
      <c r="G286" s="150"/>
      <c r="H286" s="150"/>
      <c r="I286" s="143"/>
      <c r="J286" s="143"/>
      <c r="K286" s="143"/>
      <c r="L286" s="143"/>
      <c r="M286" s="143"/>
      <c r="N286" s="143"/>
      <c r="O286" s="143"/>
      <c r="P286" s="143"/>
      <c r="Q286" s="143"/>
      <c r="R286" s="143"/>
      <c r="S286" s="143"/>
      <c r="T286" s="143"/>
      <c r="U286" s="143"/>
      <c r="V286" s="143"/>
      <c r="W286" s="143"/>
      <c r="X286" s="143"/>
      <c r="Y286" s="143"/>
      <c r="Z286" s="143"/>
    </row>
    <row r="287" spans="1:26" ht="24.75">
      <c r="A287" s="143"/>
      <c r="B287" s="140"/>
      <c r="C287" s="141"/>
      <c r="D287" s="153"/>
      <c r="E287" s="142"/>
      <c r="F287" s="143"/>
      <c r="G287" s="152"/>
      <c r="H287" s="152"/>
      <c r="I287" s="143"/>
      <c r="J287" s="143"/>
      <c r="K287" s="143"/>
      <c r="L287" s="143"/>
      <c r="M287" s="143"/>
      <c r="N287" s="143"/>
      <c r="O287" s="143"/>
      <c r="P287" s="143"/>
      <c r="Q287" s="143"/>
      <c r="R287" s="143"/>
      <c r="S287" s="143"/>
      <c r="T287" s="143"/>
      <c r="U287" s="143"/>
      <c r="V287" s="143"/>
      <c r="W287" s="143"/>
      <c r="X287" s="143"/>
      <c r="Y287" s="143"/>
      <c r="Z287" s="143"/>
    </row>
    <row r="288" spans="1:26" ht="24.75">
      <c r="A288" s="143"/>
      <c r="B288" s="140"/>
      <c r="C288" s="141"/>
      <c r="D288" s="153"/>
      <c r="E288" s="142"/>
      <c r="F288" s="143"/>
      <c r="G288" s="150"/>
      <c r="H288" s="150"/>
      <c r="I288" s="143"/>
      <c r="J288" s="143"/>
      <c r="K288" s="143"/>
      <c r="L288" s="143"/>
      <c r="M288" s="143"/>
      <c r="N288" s="143"/>
      <c r="O288" s="143"/>
      <c r="P288" s="143"/>
      <c r="Q288" s="143"/>
      <c r="R288" s="143"/>
      <c r="S288" s="143"/>
      <c r="T288" s="143"/>
      <c r="U288" s="143"/>
      <c r="V288" s="143"/>
      <c r="W288" s="143"/>
      <c r="X288" s="143"/>
      <c r="Y288" s="143"/>
      <c r="Z288" s="143"/>
    </row>
    <row r="289" spans="1:26" ht="24.75">
      <c r="A289" s="143"/>
      <c r="B289" s="140"/>
      <c r="C289" s="141"/>
      <c r="D289" s="153"/>
      <c r="E289" s="142"/>
      <c r="F289" s="143"/>
      <c r="G289" s="152"/>
      <c r="H289" s="152"/>
      <c r="I289" s="143"/>
      <c r="J289" s="143"/>
      <c r="K289" s="143"/>
      <c r="L289" s="143"/>
      <c r="M289" s="143"/>
      <c r="N289" s="143"/>
      <c r="O289" s="143"/>
      <c r="P289" s="143"/>
      <c r="Q289" s="143"/>
      <c r="R289" s="143"/>
      <c r="S289" s="143"/>
      <c r="T289" s="143"/>
      <c r="U289" s="143"/>
      <c r="V289" s="143"/>
      <c r="W289" s="143"/>
      <c r="X289" s="143"/>
      <c r="Y289" s="143"/>
      <c r="Z289" s="143"/>
    </row>
    <row r="290" spans="1:26" ht="24.75">
      <c r="A290" s="143"/>
      <c r="B290" s="140"/>
      <c r="C290" s="141"/>
      <c r="D290" s="153"/>
      <c r="E290" s="142"/>
      <c r="F290" s="143"/>
      <c r="G290" s="150"/>
      <c r="H290" s="150"/>
      <c r="I290" s="143"/>
      <c r="J290" s="143"/>
      <c r="K290" s="143"/>
      <c r="L290" s="143"/>
      <c r="M290" s="143"/>
      <c r="N290" s="143"/>
      <c r="O290" s="143"/>
      <c r="P290" s="143"/>
      <c r="Q290" s="143"/>
      <c r="R290" s="143"/>
      <c r="S290" s="143"/>
      <c r="T290" s="143"/>
      <c r="U290" s="143"/>
      <c r="V290" s="143"/>
      <c r="W290" s="143"/>
      <c r="X290" s="143"/>
      <c r="Y290" s="143"/>
      <c r="Z290" s="143"/>
    </row>
    <row r="291" spans="1:26" ht="24.75">
      <c r="A291" s="143"/>
      <c r="B291" s="140"/>
      <c r="C291" s="141"/>
      <c r="D291" s="153"/>
      <c r="E291" s="142"/>
      <c r="F291" s="143"/>
      <c r="G291" s="152"/>
      <c r="H291" s="152"/>
      <c r="I291" s="143"/>
      <c r="J291" s="143"/>
      <c r="K291" s="143"/>
      <c r="L291" s="143"/>
      <c r="M291" s="143"/>
      <c r="N291" s="143"/>
      <c r="O291" s="143"/>
      <c r="P291" s="143"/>
      <c r="Q291" s="143"/>
      <c r="R291" s="143"/>
      <c r="S291" s="143"/>
      <c r="T291" s="143"/>
      <c r="U291" s="143"/>
      <c r="V291" s="143"/>
      <c r="W291" s="143"/>
      <c r="X291" s="143"/>
      <c r="Y291" s="143"/>
      <c r="Z291" s="143"/>
    </row>
    <row r="292" spans="1:26" ht="24.75">
      <c r="A292" s="143"/>
      <c r="B292" s="140"/>
      <c r="C292" s="141"/>
      <c r="D292" s="153"/>
      <c r="E292" s="142"/>
      <c r="F292" s="143"/>
      <c r="G292" s="150"/>
      <c r="H292" s="150"/>
      <c r="I292" s="143"/>
      <c r="J292" s="143"/>
      <c r="K292" s="143"/>
      <c r="L292" s="143"/>
      <c r="M292" s="143"/>
      <c r="N292" s="143"/>
      <c r="O292" s="143"/>
      <c r="P292" s="143"/>
      <c r="Q292" s="143"/>
      <c r="R292" s="143"/>
      <c r="S292" s="143"/>
      <c r="T292" s="143"/>
      <c r="U292" s="143"/>
      <c r="V292" s="143"/>
      <c r="W292" s="143"/>
      <c r="X292" s="143"/>
      <c r="Y292" s="143"/>
      <c r="Z292" s="143"/>
    </row>
    <row r="293" spans="1:26" ht="24.75">
      <c r="A293" s="143"/>
      <c r="B293" s="140"/>
      <c r="C293" s="141"/>
      <c r="D293" s="153"/>
      <c r="E293" s="142"/>
      <c r="F293" s="143"/>
      <c r="G293" s="152"/>
      <c r="H293" s="152"/>
      <c r="I293" s="143"/>
      <c r="J293" s="143"/>
      <c r="K293" s="143"/>
      <c r="L293" s="143"/>
      <c r="M293" s="143"/>
      <c r="N293" s="143"/>
      <c r="O293" s="143"/>
      <c r="P293" s="143"/>
      <c r="Q293" s="143"/>
      <c r="R293" s="143"/>
      <c r="S293" s="143"/>
      <c r="T293" s="143"/>
      <c r="U293" s="143"/>
      <c r="V293" s="143"/>
      <c r="W293" s="143"/>
      <c r="X293" s="143"/>
      <c r="Y293" s="143"/>
      <c r="Z293" s="143"/>
    </row>
    <row r="294" spans="1:26" ht="24.75">
      <c r="A294" s="143"/>
      <c r="B294" s="140"/>
      <c r="C294" s="141"/>
      <c r="D294" s="153"/>
      <c r="E294" s="142"/>
      <c r="F294" s="143"/>
      <c r="G294" s="150"/>
      <c r="H294" s="150"/>
      <c r="I294" s="143"/>
      <c r="J294" s="143"/>
      <c r="K294" s="143"/>
      <c r="L294" s="143"/>
      <c r="M294" s="143"/>
      <c r="N294" s="143"/>
      <c r="O294" s="143"/>
      <c r="P294" s="143"/>
      <c r="Q294" s="143"/>
      <c r="R294" s="143"/>
      <c r="S294" s="143"/>
      <c r="T294" s="143"/>
      <c r="U294" s="143"/>
      <c r="V294" s="143"/>
      <c r="W294" s="143"/>
      <c r="X294" s="143"/>
      <c r="Y294" s="143"/>
      <c r="Z294" s="143"/>
    </row>
    <row r="295" spans="1:26" ht="24.75">
      <c r="A295" s="143"/>
      <c r="B295" s="140"/>
      <c r="C295" s="141"/>
      <c r="D295" s="153"/>
      <c r="E295" s="142"/>
      <c r="F295" s="143"/>
      <c r="G295" s="152"/>
      <c r="H295" s="152"/>
      <c r="I295" s="143"/>
      <c r="J295" s="143"/>
      <c r="K295" s="143"/>
      <c r="L295" s="143"/>
      <c r="M295" s="143"/>
      <c r="N295" s="143"/>
      <c r="O295" s="143"/>
      <c r="P295" s="143"/>
      <c r="Q295" s="143"/>
      <c r="R295" s="143"/>
      <c r="S295" s="143"/>
      <c r="T295" s="143"/>
      <c r="U295" s="143"/>
      <c r="V295" s="143"/>
      <c r="W295" s="143"/>
      <c r="X295" s="143"/>
      <c r="Y295" s="143"/>
      <c r="Z295" s="143"/>
    </row>
    <row r="296" spans="1:26" ht="24.75">
      <c r="A296" s="143"/>
      <c r="B296" s="140"/>
      <c r="C296" s="141"/>
      <c r="D296" s="153"/>
      <c r="E296" s="142"/>
      <c r="F296" s="143"/>
      <c r="G296" s="150"/>
      <c r="H296" s="150"/>
      <c r="I296" s="143"/>
      <c r="J296" s="143"/>
      <c r="K296" s="143"/>
      <c r="L296" s="143"/>
      <c r="M296" s="143"/>
      <c r="N296" s="143"/>
      <c r="O296" s="143"/>
      <c r="P296" s="143"/>
      <c r="Q296" s="143"/>
      <c r="R296" s="143"/>
      <c r="S296" s="143"/>
      <c r="T296" s="143"/>
      <c r="U296" s="143"/>
      <c r="V296" s="143"/>
      <c r="W296" s="143"/>
      <c r="X296" s="143"/>
      <c r="Y296" s="143"/>
      <c r="Z296" s="143"/>
    </row>
    <row r="297" spans="1:26" ht="24.75">
      <c r="A297" s="143"/>
      <c r="B297" s="140"/>
      <c r="C297" s="141"/>
      <c r="D297" s="153"/>
      <c r="E297" s="142"/>
      <c r="F297" s="143"/>
      <c r="G297" s="152"/>
      <c r="H297" s="152"/>
      <c r="I297" s="143"/>
      <c r="J297" s="143"/>
      <c r="K297" s="143"/>
      <c r="L297" s="143"/>
      <c r="M297" s="143"/>
      <c r="N297" s="143"/>
      <c r="O297" s="143"/>
      <c r="P297" s="143"/>
      <c r="Q297" s="143"/>
      <c r="R297" s="143"/>
      <c r="S297" s="143"/>
      <c r="T297" s="143"/>
      <c r="U297" s="143"/>
      <c r="V297" s="143"/>
      <c r="W297" s="143"/>
      <c r="X297" s="143"/>
      <c r="Y297" s="143"/>
      <c r="Z297" s="143"/>
    </row>
    <row r="298" spans="1:26" ht="24.75">
      <c r="A298" s="143"/>
      <c r="B298" s="140"/>
      <c r="C298" s="141"/>
      <c r="D298" s="153"/>
      <c r="E298" s="142"/>
      <c r="F298" s="143"/>
      <c r="G298" s="150"/>
      <c r="H298" s="150"/>
      <c r="I298" s="143"/>
      <c r="J298" s="143"/>
      <c r="K298" s="143"/>
      <c r="L298" s="143"/>
      <c r="M298" s="143"/>
      <c r="N298" s="143"/>
      <c r="O298" s="143"/>
      <c r="P298" s="143"/>
      <c r="Q298" s="143"/>
      <c r="R298" s="143"/>
      <c r="S298" s="143"/>
      <c r="T298" s="143"/>
      <c r="U298" s="143"/>
      <c r="V298" s="143"/>
      <c r="W298" s="143"/>
      <c r="X298" s="143"/>
      <c r="Y298" s="143"/>
      <c r="Z298" s="143"/>
    </row>
    <row r="299" spans="1:26" ht="24.75">
      <c r="A299" s="143"/>
      <c r="B299" s="140"/>
      <c r="C299" s="141"/>
      <c r="D299" s="153"/>
      <c r="E299" s="142"/>
      <c r="F299" s="143"/>
      <c r="G299" s="152"/>
      <c r="H299" s="152"/>
      <c r="I299" s="143"/>
      <c r="J299" s="143"/>
      <c r="K299" s="143"/>
      <c r="L299" s="143"/>
      <c r="M299" s="143"/>
      <c r="N299" s="143"/>
      <c r="O299" s="143"/>
      <c r="P299" s="143"/>
      <c r="Q299" s="143"/>
      <c r="R299" s="143"/>
      <c r="S299" s="143"/>
      <c r="T299" s="143"/>
      <c r="U299" s="143"/>
      <c r="V299" s="143"/>
      <c r="W299" s="143"/>
      <c r="X299" s="143"/>
      <c r="Y299" s="143"/>
      <c r="Z299" s="143"/>
    </row>
    <row r="300" spans="1:26" ht="24.75">
      <c r="A300" s="143"/>
      <c r="B300" s="140"/>
      <c r="C300" s="141"/>
      <c r="D300" s="153"/>
      <c r="E300" s="142"/>
      <c r="F300" s="143"/>
      <c r="G300" s="150"/>
      <c r="H300" s="150"/>
      <c r="I300" s="143"/>
      <c r="J300" s="143"/>
      <c r="K300" s="143"/>
      <c r="L300" s="143"/>
      <c r="M300" s="143"/>
      <c r="N300" s="143"/>
      <c r="O300" s="143"/>
      <c r="P300" s="143"/>
      <c r="Q300" s="143"/>
      <c r="R300" s="143"/>
      <c r="S300" s="143"/>
      <c r="T300" s="143"/>
      <c r="U300" s="143"/>
      <c r="V300" s="143"/>
      <c r="W300" s="143"/>
      <c r="X300" s="143"/>
      <c r="Y300" s="143"/>
      <c r="Z300" s="143"/>
    </row>
    <row r="301" spans="1:26" ht="24.75">
      <c r="A301" s="143"/>
      <c r="B301" s="140"/>
      <c r="C301" s="141"/>
      <c r="D301" s="153"/>
      <c r="E301" s="142"/>
      <c r="F301" s="143"/>
      <c r="G301" s="152"/>
      <c r="H301" s="152"/>
      <c r="I301" s="143"/>
      <c r="J301" s="143"/>
      <c r="K301" s="143"/>
      <c r="L301" s="143"/>
      <c r="M301" s="143"/>
      <c r="N301" s="143"/>
      <c r="O301" s="143"/>
      <c r="P301" s="143"/>
      <c r="Q301" s="143"/>
      <c r="R301" s="143"/>
      <c r="S301" s="143"/>
      <c r="T301" s="143"/>
      <c r="U301" s="143"/>
      <c r="V301" s="143"/>
      <c r="W301" s="143"/>
      <c r="X301" s="143"/>
      <c r="Y301" s="143"/>
      <c r="Z301" s="143"/>
    </row>
    <row r="302" spans="1:26" ht="24.75">
      <c r="A302" s="143"/>
      <c r="B302" s="140"/>
      <c r="C302" s="141"/>
      <c r="D302" s="153"/>
      <c r="E302" s="142"/>
      <c r="F302" s="143"/>
      <c r="G302" s="150"/>
      <c r="H302" s="150"/>
      <c r="I302" s="143"/>
      <c r="J302" s="143"/>
      <c r="K302" s="143"/>
      <c r="L302" s="143"/>
      <c r="M302" s="143"/>
      <c r="N302" s="143"/>
      <c r="O302" s="143"/>
      <c r="P302" s="143"/>
      <c r="Q302" s="143"/>
      <c r="R302" s="143"/>
      <c r="S302" s="143"/>
      <c r="T302" s="143"/>
      <c r="U302" s="143"/>
      <c r="V302" s="143"/>
      <c r="W302" s="143"/>
      <c r="X302" s="143"/>
      <c r="Y302" s="143"/>
      <c r="Z302" s="143"/>
    </row>
    <row r="303" spans="1:26" ht="24.75">
      <c r="A303" s="143"/>
      <c r="B303" s="140"/>
      <c r="C303" s="141"/>
      <c r="D303" s="153"/>
      <c r="E303" s="142"/>
      <c r="F303" s="143"/>
      <c r="G303" s="152"/>
      <c r="H303" s="152"/>
      <c r="I303" s="143"/>
      <c r="J303" s="143"/>
      <c r="K303" s="143"/>
      <c r="L303" s="143"/>
      <c r="M303" s="143"/>
      <c r="N303" s="143"/>
      <c r="O303" s="143"/>
      <c r="P303" s="143"/>
      <c r="Q303" s="143"/>
      <c r="R303" s="143"/>
      <c r="S303" s="143"/>
      <c r="T303" s="143"/>
      <c r="U303" s="143"/>
      <c r="V303" s="143"/>
      <c r="W303" s="143"/>
      <c r="X303" s="143"/>
      <c r="Y303" s="143"/>
      <c r="Z303" s="143"/>
    </row>
    <row r="304" spans="1:26" ht="24.75">
      <c r="A304" s="143"/>
      <c r="B304" s="140"/>
      <c r="C304" s="141"/>
      <c r="D304" s="153"/>
      <c r="E304" s="142"/>
      <c r="F304" s="143"/>
      <c r="G304" s="150"/>
      <c r="H304" s="150"/>
      <c r="I304" s="143"/>
      <c r="J304" s="143"/>
      <c r="K304" s="143"/>
      <c r="L304" s="143"/>
      <c r="M304" s="143"/>
      <c r="N304" s="143"/>
      <c r="O304" s="143"/>
      <c r="P304" s="143"/>
      <c r="Q304" s="143"/>
      <c r="R304" s="143"/>
      <c r="S304" s="143"/>
      <c r="T304" s="143"/>
      <c r="U304" s="143"/>
      <c r="V304" s="143"/>
      <c r="W304" s="143"/>
      <c r="X304" s="143"/>
      <c r="Y304" s="143"/>
      <c r="Z304" s="143"/>
    </row>
    <row r="305" spans="1:26" ht="24.75">
      <c r="A305" s="143"/>
      <c r="B305" s="140"/>
      <c r="C305" s="141"/>
      <c r="D305" s="153"/>
      <c r="E305" s="142"/>
      <c r="F305" s="143"/>
      <c r="G305" s="152"/>
      <c r="H305" s="152"/>
      <c r="I305" s="143"/>
      <c r="J305" s="143"/>
      <c r="K305" s="143"/>
      <c r="L305" s="143"/>
      <c r="M305" s="143"/>
      <c r="N305" s="143"/>
      <c r="O305" s="143"/>
      <c r="P305" s="143"/>
      <c r="Q305" s="143"/>
      <c r="R305" s="143"/>
      <c r="S305" s="143"/>
      <c r="T305" s="143"/>
      <c r="U305" s="143"/>
      <c r="V305" s="143"/>
      <c r="W305" s="143"/>
      <c r="X305" s="143"/>
      <c r="Y305" s="143"/>
      <c r="Z305" s="143"/>
    </row>
    <row r="306" spans="1:26" ht="24.75">
      <c r="A306" s="143"/>
      <c r="B306" s="140"/>
      <c r="C306" s="141"/>
      <c r="D306" s="153"/>
      <c r="E306" s="142"/>
      <c r="F306" s="143"/>
      <c r="G306" s="150"/>
      <c r="H306" s="150"/>
      <c r="I306" s="143"/>
      <c r="J306" s="143"/>
      <c r="K306" s="143"/>
      <c r="L306" s="143"/>
      <c r="M306" s="143"/>
      <c r="N306" s="143"/>
      <c r="O306" s="143"/>
      <c r="P306" s="143"/>
      <c r="Q306" s="143"/>
      <c r="R306" s="143"/>
      <c r="S306" s="143"/>
      <c r="T306" s="143"/>
      <c r="U306" s="143"/>
      <c r="V306" s="143"/>
      <c r="W306" s="143"/>
      <c r="X306" s="143"/>
      <c r="Y306" s="143"/>
      <c r="Z306" s="143"/>
    </row>
    <row r="307" spans="1:26" ht="24.75">
      <c r="A307" s="143"/>
      <c r="B307" s="140"/>
      <c r="C307" s="141"/>
      <c r="D307" s="153"/>
      <c r="E307" s="142"/>
      <c r="F307" s="143"/>
      <c r="G307" s="152"/>
      <c r="H307" s="152"/>
      <c r="I307" s="143"/>
      <c r="J307" s="143"/>
      <c r="K307" s="143"/>
      <c r="L307" s="143"/>
      <c r="M307" s="143"/>
      <c r="N307" s="143"/>
      <c r="O307" s="143"/>
      <c r="P307" s="143"/>
      <c r="Q307" s="143"/>
      <c r="R307" s="143"/>
      <c r="S307" s="143"/>
      <c r="T307" s="143"/>
      <c r="U307" s="143"/>
      <c r="V307" s="143"/>
      <c r="W307" s="143"/>
      <c r="X307" s="143"/>
      <c r="Y307" s="143"/>
      <c r="Z307" s="143"/>
    </row>
    <row r="308" spans="1:26" ht="24.75">
      <c r="A308" s="143"/>
      <c r="B308" s="140"/>
      <c r="C308" s="141"/>
      <c r="D308" s="153"/>
      <c r="E308" s="142"/>
      <c r="F308" s="143"/>
      <c r="G308" s="150"/>
      <c r="H308" s="150"/>
      <c r="I308" s="143"/>
      <c r="J308" s="143"/>
      <c r="K308" s="143"/>
      <c r="L308" s="143"/>
      <c r="M308" s="143"/>
      <c r="N308" s="143"/>
      <c r="O308" s="143"/>
      <c r="P308" s="143"/>
      <c r="Q308" s="143"/>
      <c r="R308" s="143"/>
      <c r="S308" s="143"/>
      <c r="T308" s="143"/>
      <c r="U308" s="143"/>
      <c r="V308" s="143"/>
      <c r="W308" s="143"/>
      <c r="X308" s="143"/>
      <c r="Y308" s="143"/>
      <c r="Z308" s="143"/>
    </row>
    <row r="309" spans="1:26" ht="24.75">
      <c r="A309" s="143"/>
      <c r="B309" s="140"/>
      <c r="C309" s="141"/>
      <c r="D309" s="153"/>
      <c r="E309" s="142"/>
      <c r="F309" s="143"/>
      <c r="G309" s="152"/>
      <c r="H309" s="152"/>
      <c r="I309" s="143"/>
      <c r="J309" s="143"/>
      <c r="K309" s="143"/>
      <c r="L309" s="143"/>
      <c r="M309" s="143"/>
      <c r="N309" s="143"/>
      <c r="O309" s="143"/>
      <c r="P309" s="143"/>
      <c r="Q309" s="143"/>
      <c r="R309" s="143"/>
      <c r="S309" s="143"/>
      <c r="T309" s="143"/>
      <c r="U309" s="143"/>
      <c r="V309" s="143"/>
      <c r="W309" s="143"/>
      <c r="X309" s="143"/>
      <c r="Y309" s="143"/>
      <c r="Z309" s="143"/>
    </row>
    <row r="310" spans="1:26" ht="24.75">
      <c r="A310" s="143"/>
      <c r="B310" s="140"/>
      <c r="C310" s="141"/>
      <c r="D310" s="153"/>
      <c r="E310" s="142"/>
      <c r="F310" s="143"/>
      <c r="G310" s="150"/>
      <c r="H310" s="150"/>
      <c r="I310" s="143"/>
      <c r="J310" s="143"/>
      <c r="K310" s="143"/>
      <c r="L310" s="143"/>
      <c r="M310" s="143"/>
      <c r="N310" s="143"/>
      <c r="O310" s="143"/>
      <c r="P310" s="143"/>
      <c r="Q310" s="143"/>
      <c r="R310" s="143"/>
      <c r="S310" s="143"/>
      <c r="T310" s="143"/>
      <c r="U310" s="143"/>
      <c r="V310" s="143"/>
      <c r="W310" s="143"/>
      <c r="X310" s="143"/>
      <c r="Y310" s="143"/>
      <c r="Z310" s="143"/>
    </row>
    <row r="311" spans="1:26" ht="24.75">
      <c r="A311" s="143"/>
      <c r="B311" s="140"/>
      <c r="C311" s="141"/>
      <c r="D311" s="153"/>
      <c r="E311" s="142"/>
      <c r="F311" s="143"/>
      <c r="G311" s="152"/>
      <c r="H311" s="152"/>
      <c r="I311" s="143"/>
      <c r="J311" s="143"/>
      <c r="K311" s="143"/>
      <c r="L311" s="143"/>
      <c r="M311" s="143"/>
      <c r="N311" s="143"/>
      <c r="O311" s="143"/>
      <c r="P311" s="143"/>
      <c r="Q311" s="143"/>
      <c r="R311" s="143"/>
      <c r="S311" s="143"/>
      <c r="T311" s="143"/>
      <c r="U311" s="143"/>
      <c r="V311" s="143"/>
      <c r="W311" s="143"/>
      <c r="X311" s="143"/>
      <c r="Y311" s="143"/>
      <c r="Z311" s="143"/>
    </row>
    <row r="312" spans="1:26" ht="24.75">
      <c r="A312" s="143"/>
      <c r="B312" s="140"/>
      <c r="C312" s="141"/>
      <c r="D312" s="153"/>
      <c r="E312" s="142"/>
      <c r="F312" s="143"/>
      <c r="G312" s="150"/>
      <c r="H312" s="150"/>
      <c r="I312" s="143"/>
      <c r="J312" s="143"/>
      <c r="K312" s="143"/>
      <c r="L312" s="143"/>
      <c r="M312" s="143"/>
      <c r="N312" s="143"/>
      <c r="O312" s="143"/>
      <c r="P312" s="143"/>
      <c r="Q312" s="143"/>
      <c r="R312" s="143"/>
      <c r="S312" s="143"/>
      <c r="T312" s="143"/>
      <c r="U312" s="143"/>
      <c r="V312" s="143"/>
      <c r="W312" s="143"/>
      <c r="X312" s="143"/>
      <c r="Y312" s="143"/>
      <c r="Z312" s="143"/>
    </row>
    <row r="313" spans="1:26" ht="24.75">
      <c r="A313" s="143"/>
      <c r="B313" s="140"/>
      <c r="C313" s="141"/>
      <c r="D313" s="153"/>
      <c r="E313" s="142"/>
      <c r="F313" s="143"/>
      <c r="G313" s="152"/>
      <c r="H313" s="152"/>
      <c r="I313" s="143"/>
      <c r="J313" s="143"/>
      <c r="K313" s="143"/>
      <c r="L313" s="143"/>
      <c r="M313" s="143"/>
      <c r="N313" s="143"/>
      <c r="O313" s="143"/>
      <c r="P313" s="143"/>
      <c r="Q313" s="143"/>
      <c r="R313" s="143"/>
      <c r="S313" s="143"/>
      <c r="T313" s="143"/>
      <c r="U313" s="143"/>
      <c r="V313" s="143"/>
      <c r="W313" s="143"/>
      <c r="X313" s="143"/>
      <c r="Y313" s="143"/>
      <c r="Z313" s="143"/>
    </row>
    <row r="314" spans="1:26" ht="24.75">
      <c r="A314" s="143"/>
      <c r="B314" s="140"/>
      <c r="C314" s="141"/>
      <c r="D314" s="153"/>
      <c r="E314" s="142"/>
      <c r="F314" s="143"/>
      <c r="G314" s="150"/>
      <c r="H314" s="150"/>
      <c r="I314" s="143"/>
      <c r="J314" s="143"/>
      <c r="K314" s="143"/>
      <c r="L314" s="143"/>
      <c r="M314" s="143"/>
      <c r="N314" s="143"/>
      <c r="O314" s="143"/>
      <c r="P314" s="143"/>
      <c r="Q314" s="143"/>
      <c r="R314" s="143"/>
      <c r="S314" s="143"/>
      <c r="T314" s="143"/>
      <c r="U314" s="143"/>
      <c r="V314" s="143"/>
      <c r="W314" s="143"/>
      <c r="X314" s="143"/>
      <c r="Y314" s="143"/>
      <c r="Z314" s="143"/>
    </row>
    <row r="315" spans="1:26" ht="24.75">
      <c r="A315" s="143"/>
      <c r="B315" s="140"/>
      <c r="C315" s="141"/>
      <c r="D315" s="153"/>
      <c r="E315" s="142"/>
      <c r="F315" s="143"/>
      <c r="G315" s="152"/>
      <c r="H315" s="152"/>
      <c r="I315" s="143"/>
      <c r="J315" s="143"/>
      <c r="K315" s="143"/>
      <c r="L315" s="143"/>
      <c r="M315" s="143"/>
      <c r="N315" s="143"/>
      <c r="O315" s="143"/>
      <c r="P315" s="143"/>
      <c r="Q315" s="143"/>
      <c r="R315" s="143"/>
      <c r="S315" s="143"/>
      <c r="T315" s="143"/>
      <c r="U315" s="143"/>
      <c r="V315" s="143"/>
      <c r="W315" s="143"/>
      <c r="X315" s="143"/>
      <c r="Y315" s="143"/>
      <c r="Z315" s="143"/>
    </row>
    <row r="316" spans="1:26" ht="24.75">
      <c r="A316" s="143"/>
      <c r="B316" s="140"/>
      <c r="C316" s="141"/>
      <c r="D316" s="153"/>
      <c r="E316" s="142"/>
      <c r="F316" s="143"/>
      <c r="G316" s="150"/>
      <c r="H316" s="150"/>
      <c r="I316" s="143"/>
      <c r="J316" s="143"/>
      <c r="K316" s="143"/>
      <c r="L316" s="143"/>
      <c r="M316" s="143"/>
      <c r="N316" s="143"/>
      <c r="O316" s="143"/>
      <c r="P316" s="143"/>
      <c r="Q316" s="143"/>
      <c r="R316" s="143"/>
      <c r="S316" s="143"/>
      <c r="T316" s="143"/>
      <c r="U316" s="143"/>
      <c r="V316" s="143"/>
      <c r="W316" s="143"/>
      <c r="X316" s="143"/>
      <c r="Y316" s="143"/>
      <c r="Z316" s="143"/>
    </row>
    <row r="317" spans="1:26" ht="24.75">
      <c r="A317" s="143"/>
      <c r="B317" s="140"/>
      <c r="C317" s="141"/>
      <c r="D317" s="153"/>
      <c r="E317" s="142"/>
      <c r="F317" s="143"/>
      <c r="G317" s="152"/>
      <c r="H317" s="152"/>
      <c r="I317" s="143"/>
      <c r="J317" s="143"/>
      <c r="K317" s="143"/>
      <c r="L317" s="143"/>
      <c r="M317" s="143"/>
      <c r="N317" s="143"/>
      <c r="O317" s="143"/>
      <c r="P317" s="143"/>
      <c r="Q317" s="143"/>
      <c r="R317" s="143"/>
      <c r="S317" s="143"/>
      <c r="T317" s="143"/>
      <c r="U317" s="143"/>
      <c r="V317" s="143"/>
      <c r="W317" s="143"/>
      <c r="X317" s="143"/>
      <c r="Y317" s="143"/>
      <c r="Z317" s="143"/>
    </row>
    <row r="318" spans="1:26" ht="24.75">
      <c r="A318" s="143"/>
      <c r="B318" s="140"/>
      <c r="C318" s="141"/>
      <c r="D318" s="153"/>
      <c r="E318" s="142"/>
      <c r="F318" s="143"/>
      <c r="G318" s="150"/>
      <c r="H318" s="150"/>
      <c r="I318" s="143"/>
      <c r="J318" s="143"/>
      <c r="K318" s="143"/>
      <c r="L318" s="143"/>
      <c r="M318" s="143"/>
      <c r="N318" s="143"/>
      <c r="O318" s="143"/>
      <c r="P318" s="143"/>
      <c r="Q318" s="143"/>
      <c r="R318" s="143"/>
      <c r="S318" s="143"/>
      <c r="T318" s="143"/>
      <c r="U318" s="143"/>
      <c r="V318" s="143"/>
      <c r="W318" s="143"/>
      <c r="X318" s="143"/>
      <c r="Y318" s="143"/>
      <c r="Z318" s="143"/>
    </row>
    <row r="319" spans="1:26" ht="24.75">
      <c r="A319" s="143"/>
      <c r="B319" s="140"/>
      <c r="C319" s="141"/>
      <c r="D319" s="153"/>
      <c r="E319" s="142"/>
      <c r="F319" s="143"/>
      <c r="G319" s="152"/>
      <c r="H319" s="152"/>
      <c r="I319" s="143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  <c r="T319" s="143"/>
      <c r="U319" s="143"/>
      <c r="V319" s="143"/>
      <c r="W319" s="143"/>
      <c r="X319" s="143"/>
      <c r="Y319" s="143"/>
      <c r="Z319" s="143"/>
    </row>
    <row r="320" spans="1:26" ht="24.75">
      <c r="A320" s="143"/>
      <c r="B320" s="140"/>
      <c r="C320" s="141"/>
      <c r="D320" s="153"/>
      <c r="E320" s="142"/>
      <c r="F320" s="143"/>
      <c r="G320" s="150"/>
      <c r="H320" s="150"/>
      <c r="I320" s="143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143"/>
      <c r="U320" s="143"/>
      <c r="V320" s="143"/>
      <c r="W320" s="143"/>
      <c r="X320" s="143"/>
      <c r="Y320" s="143"/>
      <c r="Z320" s="143"/>
    </row>
    <row r="321" spans="1:26" ht="24.75">
      <c r="A321" s="143"/>
      <c r="B321" s="140"/>
      <c r="C321" s="141"/>
      <c r="D321" s="153"/>
      <c r="E321" s="142"/>
      <c r="F321" s="143"/>
      <c r="G321" s="152"/>
      <c r="H321" s="152"/>
      <c r="I321" s="143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  <c r="T321" s="143"/>
      <c r="U321" s="143"/>
      <c r="V321" s="143"/>
      <c r="W321" s="143"/>
      <c r="X321" s="143"/>
      <c r="Y321" s="143"/>
      <c r="Z321" s="143"/>
    </row>
    <row r="322" spans="1:26" ht="24.75">
      <c r="A322" s="143"/>
      <c r="B322" s="140"/>
      <c r="C322" s="141"/>
      <c r="D322" s="153"/>
      <c r="E322" s="142"/>
      <c r="F322" s="143"/>
      <c r="G322" s="150"/>
      <c r="H322" s="150"/>
      <c r="I322" s="143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143"/>
      <c r="U322" s="143"/>
      <c r="V322" s="143"/>
      <c r="W322" s="143"/>
      <c r="X322" s="143"/>
      <c r="Y322" s="143"/>
      <c r="Z322" s="143"/>
    </row>
    <row r="323" spans="1:26" ht="24.75">
      <c r="A323" s="143"/>
      <c r="B323" s="140"/>
      <c r="C323" s="141"/>
      <c r="D323" s="153"/>
      <c r="E323" s="142"/>
      <c r="F323" s="143"/>
      <c r="G323" s="152"/>
      <c r="H323" s="152"/>
      <c r="I323" s="143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  <c r="T323" s="143"/>
      <c r="U323" s="143"/>
      <c r="V323" s="143"/>
      <c r="W323" s="143"/>
      <c r="X323" s="143"/>
      <c r="Y323" s="143"/>
      <c r="Z323" s="143"/>
    </row>
    <row r="324" spans="1:26" ht="24.75">
      <c r="A324" s="143"/>
      <c r="B324" s="140"/>
      <c r="C324" s="141"/>
      <c r="D324" s="153"/>
      <c r="E324" s="142"/>
      <c r="F324" s="143"/>
      <c r="G324" s="150"/>
      <c r="H324" s="150"/>
      <c r="I324" s="143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43"/>
      <c r="U324" s="143"/>
      <c r="V324" s="143"/>
      <c r="W324" s="143"/>
      <c r="X324" s="143"/>
      <c r="Y324" s="143"/>
      <c r="Z324" s="143"/>
    </row>
    <row r="325" spans="1:26" ht="24.75">
      <c r="A325" s="143"/>
      <c r="B325" s="140"/>
      <c r="C325" s="141"/>
      <c r="D325" s="153"/>
      <c r="E325" s="142"/>
      <c r="F325" s="143"/>
      <c r="G325" s="152"/>
      <c r="H325" s="152"/>
      <c r="I325" s="143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143"/>
      <c r="U325" s="143"/>
      <c r="V325" s="143"/>
      <c r="W325" s="143"/>
      <c r="X325" s="143"/>
      <c r="Y325" s="143"/>
      <c r="Z325" s="143"/>
    </row>
    <row r="326" spans="1:26" ht="24.75">
      <c r="A326" s="143"/>
      <c r="B326" s="140"/>
      <c r="C326" s="141"/>
      <c r="D326" s="153"/>
      <c r="E326" s="142"/>
      <c r="F326" s="143"/>
      <c r="G326" s="150"/>
      <c r="H326" s="150"/>
      <c r="I326" s="143"/>
      <c r="J326" s="143"/>
      <c r="K326" s="143"/>
      <c r="L326" s="143"/>
      <c r="M326" s="143"/>
      <c r="N326" s="143"/>
      <c r="O326" s="143"/>
      <c r="P326" s="143"/>
      <c r="Q326" s="143"/>
      <c r="R326" s="143"/>
      <c r="S326" s="143"/>
      <c r="T326" s="143"/>
      <c r="U326" s="143"/>
      <c r="V326" s="143"/>
      <c r="W326" s="143"/>
      <c r="X326" s="143"/>
      <c r="Y326" s="143"/>
      <c r="Z326" s="143"/>
    </row>
    <row r="327" spans="1:26" ht="24.75">
      <c r="A327" s="143"/>
      <c r="B327" s="140"/>
      <c r="C327" s="141"/>
      <c r="D327" s="153"/>
      <c r="E327" s="142"/>
      <c r="F327" s="143"/>
      <c r="G327" s="152"/>
      <c r="H327" s="152"/>
      <c r="I327" s="143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  <c r="T327" s="143"/>
      <c r="U327" s="143"/>
      <c r="V327" s="143"/>
      <c r="W327" s="143"/>
      <c r="X327" s="143"/>
      <c r="Y327" s="143"/>
      <c r="Z327" s="143"/>
    </row>
    <row r="328" spans="1:26" ht="24.75">
      <c r="A328" s="143"/>
      <c r="B328" s="140"/>
      <c r="C328" s="141"/>
      <c r="D328" s="153"/>
      <c r="E328" s="142"/>
      <c r="F328" s="143"/>
      <c r="G328" s="150"/>
      <c r="H328" s="150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43"/>
      <c r="U328" s="143"/>
      <c r="V328" s="143"/>
      <c r="W328" s="143"/>
      <c r="X328" s="143"/>
      <c r="Y328" s="143"/>
      <c r="Z328" s="143"/>
    </row>
    <row r="329" spans="1:26" ht="24.75">
      <c r="A329" s="143"/>
      <c r="B329" s="140"/>
      <c r="C329" s="141"/>
      <c r="D329" s="153"/>
      <c r="E329" s="142"/>
      <c r="F329" s="143"/>
      <c r="G329" s="152"/>
      <c r="H329" s="152"/>
      <c r="I329" s="143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143"/>
      <c r="U329" s="143"/>
      <c r="V329" s="143"/>
      <c r="W329" s="143"/>
      <c r="X329" s="143"/>
      <c r="Y329" s="143"/>
      <c r="Z329" s="143"/>
    </row>
    <row r="330" spans="1:26" ht="24.75">
      <c r="A330" s="143"/>
      <c r="B330" s="140"/>
      <c r="C330" s="141"/>
      <c r="D330" s="153"/>
      <c r="E330" s="142"/>
      <c r="F330" s="143"/>
      <c r="G330" s="150"/>
      <c r="H330" s="150"/>
      <c r="I330" s="143"/>
      <c r="J330" s="143"/>
      <c r="K330" s="143"/>
      <c r="L330" s="143"/>
      <c r="M330" s="143"/>
      <c r="N330" s="143"/>
      <c r="O330" s="143"/>
      <c r="P330" s="143"/>
      <c r="Q330" s="143"/>
      <c r="R330" s="143"/>
      <c r="S330" s="143"/>
      <c r="T330" s="143"/>
      <c r="U330" s="143"/>
      <c r="V330" s="143"/>
      <c r="W330" s="143"/>
      <c r="X330" s="143"/>
      <c r="Y330" s="143"/>
      <c r="Z330" s="143"/>
    </row>
    <row r="331" spans="1:26" ht="24.75">
      <c r="A331" s="143"/>
      <c r="B331" s="140"/>
      <c r="C331" s="141"/>
      <c r="D331" s="153"/>
      <c r="E331" s="142"/>
      <c r="F331" s="143"/>
      <c r="G331" s="152"/>
      <c r="H331" s="152"/>
      <c r="I331" s="143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  <c r="T331" s="143"/>
      <c r="U331" s="143"/>
      <c r="V331" s="143"/>
      <c r="W331" s="143"/>
      <c r="X331" s="143"/>
      <c r="Y331" s="143"/>
      <c r="Z331" s="143"/>
    </row>
    <row r="332" spans="1:26" ht="24.75">
      <c r="A332" s="143"/>
      <c r="B332" s="140"/>
      <c r="C332" s="141"/>
      <c r="D332" s="153"/>
      <c r="E332" s="142"/>
      <c r="F332" s="143"/>
      <c r="G332" s="150"/>
      <c r="H332" s="150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/>
      <c r="V332" s="143"/>
      <c r="W332" s="143"/>
      <c r="X332" s="143"/>
      <c r="Y332" s="143"/>
      <c r="Z332" s="143"/>
    </row>
    <row r="333" spans="1:26" ht="24.75">
      <c r="A333" s="143"/>
      <c r="B333" s="140"/>
      <c r="C333" s="141"/>
      <c r="D333" s="153"/>
      <c r="E333" s="142"/>
      <c r="F333" s="143"/>
      <c r="G333" s="152"/>
      <c r="H333" s="152"/>
      <c r="I333" s="143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143"/>
      <c r="U333" s="143"/>
      <c r="V333" s="143"/>
      <c r="W333" s="143"/>
      <c r="X333" s="143"/>
      <c r="Y333" s="143"/>
      <c r="Z333" s="143"/>
    </row>
    <row r="334" spans="1:26" ht="24.75">
      <c r="A334" s="143"/>
      <c r="B334" s="140"/>
      <c r="C334" s="141"/>
      <c r="D334" s="153"/>
      <c r="E334" s="142"/>
      <c r="F334" s="143"/>
      <c r="G334" s="150"/>
      <c r="H334" s="150"/>
      <c r="I334" s="143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  <c r="T334" s="143"/>
      <c r="U334" s="143"/>
      <c r="V334" s="143"/>
      <c r="W334" s="143"/>
      <c r="X334" s="143"/>
      <c r="Y334" s="143"/>
      <c r="Z334" s="143"/>
    </row>
    <row r="335" spans="1:26" ht="24.75">
      <c r="A335" s="143"/>
      <c r="B335" s="140"/>
      <c r="C335" s="141"/>
      <c r="D335" s="153"/>
      <c r="E335" s="142"/>
      <c r="F335" s="143"/>
      <c r="G335" s="152"/>
      <c r="H335" s="152"/>
      <c r="I335" s="143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  <c r="T335" s="143"/>
      <c r="U335" s="143"/>
      <c r="V335" s="143"/>
      <c r="W335" s="143"/>
      <c r="X335" s="143"/>
      <c r="Y335" s="143"/>
      <c r="Z335" s="143"/>
    </row>
    <row r="336" spans="1:26" ht="24.75">
      <c r="A336" s="143"/>
      <c r="B336" s="140"/>
      <c r="C336" s="141"/>
      <c r="D336" s="153"/>
      <c r="E336" s="142"/>
      <c r="F336" s="143"/>
      <c r="G336" s="150"/>
      <c r="H336" s="150"/>
      <c r="I336" s="143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  <c r="T336" s="143"/>
      <c r="U336" s="143"/>
      <c r="V336" s="143"/>
      <c r="W336" s="143"/>
      <c r="X336" s="143"/>
      <c r="Y336" s="143"/>
      <c r="Z336" s="143"/>
    </row>
    <row r="337" spans="1:26" ht="24.75">
      <c r="A337" s="143"/>
      <c r="B337" s="140"/>
      <c r="C337" s="141"/>
      <c r="D337" s="153"/>
      <c r="E337" s="142"/>
      <c r="F337" s="143"/>
      <c r="G337" s="152"/>
      <c r="H337" s="152"/>
      <c r="I337" s="143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143"/>
      <c r="U337" s="143"/>
      <c r="V337" s="143"/>
      <c r="W337" s="143"/>
      <c r="X337" s="143"/>
      <c r="Y337" s="143"/>
      <c r="Z337" s="143"/>
    </row>
    <row r="338" spans="1:26" ht="24.75">
      <c r="A338" s="143"/>
      <c r="B338" s="140"/>
      <c r="C338" s="141"/>
      <c r="D338" s="153"/>
      <c r="E338" s="142"/>
      <c r="F338" s="143"/>
      <c r="G338" s="150"/>
      <c r="H338" s="150"/>
      <c r="I338" s="143"/>
      <c r="J338" s="143"/>
      <c r="K338" s="143"/>
      <c r="L338" s="143"/>
      <c r="M338" s="143"/>
      <c r="N338" s="143"/>
      <c r="O338" s="143"/>
      <c r="P338" s="143"/>
      <c r="Q338" s="143"/>
      <c r="R338" s="143"/>
      <c r="S338" s="143"/>
      <c r="T338" s="143"/>
      <c r="U338" s="143"/>
      <c r="V338" s="143"/>
      <c r="W338" s="143"/>
      <c r="X338" s="143"/>
      <c r="Y338" s="143"/>
      <c r="Z338" s="143"/>
    </row>
    <row r="339" spans="1:26" ht="24.75">
      <c r="A339" s="143"/>
      <c r="B339" s="140"/>
      <c r="C339" s="141"/>
      <c r="D339" s="153"/>
      <c r="E339" s="142"/>
      <c r="F339" s="143"/>
      <c r="G339" s="152"/>
      <c r="H339" s="152"/>
      <c r="I339" s="143"/>
      <c r="J339" s="143"/>
      <c r="K339" s="143"/>
      <c r="L339" s="143"/>
      <c r="M339" s="143"/>
      <c r="N339" s="143"/>
      <c r="O339" s="143"/>
      <c r="P339" s="143"/>
      <c r="Q339" s="143"/>
      <c r="R339" s="143"/>
      <c r="S339" s="143"/>
      <c r="T339" s="143"/>
      <c r="U339" s="143"/>
      <c r="V339" s="143"/>
      <c r="W339" s="143"/>
      <c r="X339" s="143"/>
      <c r="Y339" s="143"/>
      <c r="Z339" s="143"/>
    </row>
    <row r="340" spans="1:26" ht="24.75">
      <c r="A340" s="143"/>
      <c r="B340" s="140"/>
      <c r="C340" s="141"/>
      <c r="D340" s="153"/>
      <c r="E340" s="142"/>
      <c r="F340" s="143"/>
      <c r="G340" s="150"/>
      <c r="H340" s="150"/>
      <c r="I340" s="143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  <c r="T340" s="143"/>
      <c r="U340" s="143"/>
      <c r="V340" s="143"/>
      <c r="W340" s="143"/>
      <c r="X340" s="143"/>
      <c r="Y340" s="143"/>
      <c r="Z340" s="143"/>
    </row>
    <row r="341" spans="1:26" ht="24.75">
      <c r="A341" s="143"/>
      <c r="B341" s="140"/>
      <c r="C341" s="141"/>
      <c r="D341" s="153"/>
      <c r="E341" s="142"/>
      <c r="F341" s="143"/>
      <c r="G341" s="152"/>
      <c r="H341" s="152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  <c r="T341" s="143"/>
      <c r="U341" s="143"/>
      <c r="V341" s="143"/>
      <c r="W341" s="143"/>
      <c r="X341" s="143"/>
      <c r="Y341" s="143"/>
      <c r="Z341" s="143"/>
    </row>
    <row r="342" spans="1:26" ht="24.75">
      <c r="A342" s="143"/>
      <c r="B342" s="140"/>
      <c r="C342" s="141"/>
      <c r="D342" s="153"/>
      <c r="E342" s="142"/>
      <c r="F342" s="143"/>
      <c r="G342" s="150"/>
      <c r="H342" s="150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/>
      <c r="V342" s="143"/>
      <c r="W342" s="143"/>
      <c r="X342" s="143"/>
      <c r="Y342" s="143"/>
      <c r="Z342" s="143"/>
    </row>
    <row r="343" spans="1:26" ht="24.75">
      <c r="A343" s="143"/>
      <c r="B343" s="140"/>
      <c r="C343" s="141"/>
      <c r="D343" s="153"/>
      <c r="E343" s="142"/>
      <c r="F343" s="143"/>
      <c r="G343" s="152"/>
      <c r="H343" s="152"/>
      <c r="I343" s="143"/>
      <c r="J343" s="143"/>
      <c r="K343" s="143"/>
      <c r="L343" s="143"/>
      <c r="M343" s="143"/>
      <c r="N343" s="143"/>
      <c r="O343" s="143"/>
      <c r="P343" s="143"/>
      <c r="Q343" s="143"/>
      <c r="R343" s="143"/>
      <c r="S343" s="143"/>
      <c r="T343" s="143"/>
      <c r="U343" s="143"/>
      <c r="V343" s="143"/>
      <c r="W343" s="143"/>
      <c r="X343" s="143"/>
      <c r="Y343" s="143"/>
      <c r="Z343" s="143"/>
    </row>
    <row r="344" spans="1:26" ht="24.75">
      <c r="A344" s="143"/>
      <c r="B344" s="140"/>
      <c r="C344" s="141"/>
      <c r="D344" s="153"/>
      <c r="E344" s="142"/>
      <c r="F344" s="143"/>
      <c r="G344" s="150"/>
      <c r="H344" s="150"/>
      <c r="I344" s="143"/>
      <c r="J344" s="143"/>
      <c r="K344" s="143"/>
      <c r="L344" s="143"/>
      <c r="M344" s="143"/>
      <c r="N344" s="143"/>
      <c r="O344" s="143"/>
      <c r="P344" s="143"/>
      <c r="Q344" s="143"/>
      <c r="R344" s="143"/>
      <c r="S344" s="143"/>
      <c r="T344" s="143"/>
      <c r="U344" s="143"/>
      <c r="V344" s="143"/>
      <c r="W344" s="143"/>
      <c r="X344" s="143"/>
      <c r="Y344" s="143"/>
      <c r="Z344" s="143"/>
    </row>
    <row r="345" spans="1:26" ht="24.75">
      <c r="A345" s="143"/>
      <c r="B345" s="140"/>
      <c r="C345" s="141"/>
      <c r="D345" s="153"/>
      <c r="E345" s="142"/>
      <c r="F345" s="143"/>
      <c r="G345" s="152"/>
      <c r="H345" s="152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  <c r="Z345" s="143"/>
    </row>
    <row r="346" spans="1:26" ht="24.75">
      <c r="A346" s="143"/>
      <c r="B346" s="140"/>
      <c r="C346" s="141"/>
      <c r="D346" s="153"/>
      <c r="E346" s="142"/>
      <c r="F346" s="143"/>
      <c r="G346" s="150"/>
      <c r="H346" s="150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  <c r="Z346" s="143"/>
    </row>
    <row r="347" spans="1:26" ht="24.75">
      <c r="A347" s="143"/>
      <c r="B347" s="140"/>
      <c r="C347" s="141"/>
      <c r="D347" s="153"/>
      <c r="E347" s="142"/>
      <c r="F347" s="143"/>
      <c r="G347" s="152"/>
      <c r="H347" s="152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  <c r="Z347" s="143"/>
    </row>
    <row r="348" spans="1:26" ht="24.75">
      <c r="A348" s="143"/>
      <c r="B348" s="140"/>
      <c r="C348" s="141"/>
      <c r="D348" s="153"/>
      <c r="E348" s="142"/>
      <c r="F348" s="143"/>
      <c r="G348" s="150"/>
      <c r="H348" s="150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  <c r="Z348" s="143"/>
    </row>
    <row r="349" spans="1:26" ht="24.75">
      <c r="A349" s="143"/>
      <c r="B349" s="140"/>
      <c r="C349" s="141"/>
      <c r="D349" s="153"/>
      <c r="E349" s="142"/>
      <c r="F349" s="143"/>
      <c r="G349" s="152"/>
      <c r="H349" s="152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  <c r="Z349" s="143"/>
    </row>
    <row r="350" spans="1:26" ht="24.75">
      <c r="A350" s="143"/>
      <c r="B350" s="140"/>
      <c r="C350" s="141"/>
      <c r="D350" s="153"/>
      <c r="E350" s="142"/>
      <c r="F350" s="143"/>
      <c r="G350" s="150"/>
      <c r="H350" s="150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  <c r="Z350" s="143"/>
    </row>
    <row r="351" spans="1:26" ht="24.75">
      <c r="A351" s="143"/>
      <c r="B351" s="140"/>
      <c r="C351" s="141"/>
      <c r="D351" s="153"/>
      <c r="E351" s="142"/>
      <c r="F351" s="143"/>
      <c r="G351" s="152"/>
      <c r="H351" s="152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  <c r="Z351" s="143"/>
    </row>
    <row r="352" spans="1:26" ht="24.75">
      <c r="A352" s="143"/>
      <c r="B352" s="140"/>
      <c r="C352" s="141"/>
      <c r="D352" s="153"/>
      <c r="E352" s="142"/>
      <c r="F352" s="143"/>
      <c r="G352" s="150"/>
      <c r="H352" s="150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  <c r="Z352" s="143"/>
    </row>
    <row r="353" spans="1:26" ht="24.75">
      <c r="A353" s="143"/>
      <c r="B353" s="140"/>
      <c r="C353" s="141"/>
      <c r="D353" s="153"/>
      <c r="E353" s="142"/>
      <c r="F353" s="143"/>
      <c r="G353" s="152"/>
      <c r="H353" s="152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  <c r="Z353" s="143"/>
    </row>
    <row r="354" spans="1:26" ht="24.75">
      <c r="A354" s="143"/>
      <c r="B354" s="140"/>
      <c r="C354" s="141"/>
      <c r="D354" s="153"/>
      <c r="E354" s="142"/>
      <c r="F354" s="143"/>
      <c r="G354" s="150"/>
      <c r="H354" s="150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  <c r="Z354" s="143"/>
    </row>
    <row r="355" spans="1:26" ht="24.75">
      <c r="A355" s="143"/>
      <c r="B355" s="140"/>
      <c r="C355" s="141"/>
      <c r="D355" s="153"/>
      <c r="E355" s="142"/>
      <c r="F355" s="143"/>
      <c r="G355" s="152"/>
      <c r="H355" s="152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  <c r="Z355" s="143"/>
    </row>
    <row r="356" spans="1:26" ht="24.75">
      <c r="A356" s="143"/>
      <c r="B356" s="140"/>
      <c r="C356" s="141"/>
      <c r="D356" s="153"/>
      <c r="E356" s="142"/>
      <c r="F356" s="143"/>
      <c r="G356" s="150"/>
      <c r="H356" s="150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  <c r="Z356" s="143"/>
    </row>
    <row r="357" spans="1:26" ht="24.75">
      <c r="A357" s="143"/>
      <c r="B357" s="140"/>
      <c r="C357" s="141"/>
      <c r="D357" s="153"/>
      <c r="E357" s="142"/>
      <c r="F357" s="143"/>
      <c r="G357" s="152"/>
      <c r="H357" s="152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  <c r="Z357" s="143"/>
    </row>
    <row r="358" spans="1:26" ht="24.75">
      <c r="A358" s="143"/>
      <c r="B358" s="140"/>
      <c r="C358" s="141"/>
      <c r="D358" s="153"/>
      <c r="E358" s="142"/>
      <c r="F358" s="143"/>
      <c r="G358" s="150"/>
      <c r="H358" s="150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  <c r="Z358" s="143"/>
    </row>
    <row r="359" spans="1:26" ht="24.75">
      <c r="A359" s="143"/>
      <c r="B359" s="140"/>
      <c r="C359" s="141"/>
      <c r="D359" s="153"/>
      <c r="E359" s="142"/>
      <c r="F359" s="143"/>
      <c r="G359" s="152"/>
      <c r="H359" s="152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  <c r="Z359" s="143"/>
    </row>
    <row r="360" spans="1:26" ht="24.75">
      <c r="A360" s="143"/>
      <c r="B360" s="140"/>
      <c r="C360" s="141"/>
      <c r="D360" s="153"/>
      <c r="E360" s="142"/>
      <c r="F360" s="143"/>
      <c r="G360" s="150"/>
      <c r="H360" s="150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  <c r="Z360" s="143"/>
    </row>
    <row r="361" spans="1:26" ht="24.75">
      <c r="A361" s="143"/>
      <c r="B361" s="140"/>
      <c r="C361" s="141"/>
      <c r="D361" s="153"/>
      <c r="E361" s="142"/>
      <c r="F361" s="143"/>
      <c r="G361" s="152"/>
      <c r="H361" s="152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  <c r="Z361" s="143"/>
    </row>
    <row r="362" spans="1:26" ht="24.75">
      <c r="A362" s="143"/>
      <c r="B362" s="140"/>
      <c r="C362" s="141"/>
      <c r="D362" s="153"/>
      <c r="E362" s="142"/>
      <c r="F362" s="143"/>
      <c r="G362" s="150"/>
      <c r="H362" s="150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  <c r="Z362" s="143"/>
    </row>
    <row r="363" spans="1:26" ht="24.75">
      <c r="A363" s="143"/>
      <c r="B363" s="140"/>
      <c r="C363" s="141"/>
      <c r="D363" s="153"/>
      <c r="E363" s="142"/>
      <c r="F363" s="143"/>
      <c r="G363" s="152"/>
      <c r="H363" s="152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  <c r="Z363" s="143"/>
    </row>
    <row r="364" spans="1:26" ht="24.75">
      <c r="A364" s="143"/>
      <c r="B364" s="140"/>
      <c r="C364" s="141"/>
      <c r="D364" s="153"/>
      <c r="E364" s="142"/>
      <c r="F364" s="143"/>
      <c r="G364" s="150"/>
      <c r="H364" s="150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  <c r="Z364" s="143"/>
    </row>
    <row r="365" spans="1:26" ht="24.75">
      <c r="A365" s="143"/>
      <c r="B365" s="140"/>
      <c r="C365" s="141"/>
      <c r="D365" s="153"/>
      <c r="E365" s="142"/>
      <c r="F365" s="143"/>
      <c r="G365" s="152"/>
      <c r="H365" s="152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  <c r="Z365" s="143"/>
    </row>
    <row r="366" spans="1:26" ht="24.75">
      <c r="A366" s="143"/>
      <c r="B366" s="140"/>
      <c r="C366" s="141"/>
      <c r="D366" s="153"/>
      <c r="E366" s="142"/>
      <c r="F366" s="143"/>
      <c r="G366" s="150"/>
      <c r="H366" s="150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  <c r="Z366" s="143"/>
    </row>
    <row r="367" spans="1:26" ht="24.75">
      <c r="A367" s="143"/>
      <c r="B367" s="140"/>
      <c r="C367" s="141"/>
      <c r="D367" s="153"/>
      <c r="E367" s="142"/>
      <c r="F367" s="143"/>
      <c r="G367" s="152"/>
      <c r="H367" s="152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  <c r="Z367" s="143"/>
    </row>
    <row r="368" spans="1:26" ht="24.75">
      <c r="A368" s="143"/>
      <c r="B368" s="140"/>
      <c r="C368" s="141"/>
      <c r="D368" s="153"/>
      <c r="E368" s="142"/>
      <c r="F368" s="143"/>
      <c r="G368" s="150"/>
      <c r="H368" s="150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  <c r="Z368" s="143"/>
    </row>
    <row r="369" spans="1:26" ht="24.75">
      <c r="A369" s="143"/>
      <c r="B369" s="140"/>
      <c r="C369" s="141"/>
      <c r="D369" s="153"/>
      <c r="E369" s="142"/>
      <c r="F369" s="143"/>
      <c r="G369" s="152"/>
      <c r="H369" s="152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  <c r="Z369" s="143"/>
    </row>
    <row r="370" spans="1:26" ht="24.75">
      <c r="A370" s="143"/>
      <c r="B370" s="140"/>
      <c r="C370" s="141"/>
      <c r="D370" s="153"/>
      <c r="E370" s="142"/>
      <c r="F370" s="143"/>
      <c r="G370" s="150"/>
      <c r="H370" s="150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  <c r="Z370" s="143"/>
    </row>
    <row r="371" spans="1:26" ht="24.75">
      <c r="A371" s="143"/>
      <c r="B371" s="140"/>
      <c r="C371" s="141"/>
      <c r="D371" s="153"/>
      <c r="E371" s="142"/>
      <c r="F371" s="143"/>
      <c r="G371" s="152"/>
      <c r="H371" s="152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  <c r="Z371" s="143"/>
    </row>
    <row r="372" spans="1:26" ht="24.75">
      <c r="A372" s="143"/>
      <c r="B372" s="140"/>
      <c r="C372" s="141"/>
      <c r="D372" s="153"/>
      <c r="E372" s="142"/>
      <c r="F372" s="143"/>
      <c r="G372" s="150"/>
      <c r="H372" s="150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  <c r="Z372" s="143"/>
    </row>
    <row r="373" spans="1:26" ht="24.75">
      <c r="A373" s="143"/>
      <c r="B373" s="140"/>
      <c r="C373" s="141"/>
      <c r="D373" s="153"/>
      <c r="E373" s="142"/>
      <c r="F373" s="143"/>
      <c r="G373" s="152"/>
      <c r="H373" s="152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  <c r="Z373" s="143"/>
    </row>
    <row r="374" spans="1:26" ht="24.75">
      <c r="A374" s="143"/>
      <c r="B374" s="140"/>
      <c r="C374" s="141"/>
      <c r="D374" s="153"/>
      <c r="E374" s="142"/>
      <c r="F374" s="143"/>
      <c r="G374" s="150"/>
      <c r="H374" s="150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  <c r="Z374" s="143"/>
    </row>
    <row r="375" spans="1:26" ht="24.75">
      <c r="A375" s="143"/>
      <c r="B375" s="140"/>
      <c r="C375" s="141"/>
      <c r="D375" s="153"/>
      <c r="E375" s="142"/>
      <c r="F375" s="143"/>
      <c r="G375" s="152"/>
      <c r="H375" s="152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  <c r="Z375" s="143"/>
    </row>
    <row r="376" spans="1:26" ht="24.75">
      <c r="A376" s="143"/>
      <c r="B376" s="140"/>
      <c r="C376" s="141"/>
      <c r="D376" s="153"/>
      <c r="E376" s="142"/>
      <c r="F376" s="143"/>
      <c r="G376" s="150"/>
      <c r="H376" s="150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  <c r="Z376" s="143"/>
    </row>
    <row r="377" spans="1:26" ht="24.75">
      <c r="A377" s="143"/>
      <c r="B377" s="140"/>
      <c r="C377" s="141"/>
      <c r="D377" s="153"/>
      <c r="E377" s="142"/>
      <c r="F377" s="143"/>
      <c r="G377" s="152"/>
      <c r="H377" s="152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  <c r="Z377" s="143"/>
    </row>
    <row r="378" spans="1:26" ht="24.75">
      <c r="A378" s="143"/>
      <c r="B378" s="140"/>
      <c r="C378" s="141"/>
      <c r="D378" s="153"/>
      <c r="E378" s="142"/>
      <c r="F378" s="143"/>
      <c r="G378" s="150"/>
      <c r="H378" s="150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  <c r="Z378" s="143"/>
    </row>
    <row r="379" spans="1:26" ht="24.75">
      <c r="A379" s="143"/>
      <c r="B379" s="140"/>
      <c r="C379" s="141"/>
      <c r="D379" s="153"/>
      <c r="E379" s="142"/>
      <c r="F379" s="143"/>
      <c r="G379" s="152"/>
      <c r="H379" s="152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  <c r="Z379" s="143"/>
    </row>
    <row r="380" spans="1:26" ht="24.75">
      <c r="A380" s="143"/>
      <c r="B380" s="140"/>
      <c r="C380" s="141"/>
      <c r="D380" s="153"/>
      <c r="E380" s="142"/>
      <c r="F380" s="143"/>
      <c r="G380" s="150"/>
      <c r="H380" s="150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  <c r="Z380" s="143"/>
    </row>
    <row r="381" spans="1:26" ht="24.75">
      <c r="A381" s="143"/>
      <c r="B381" s="140"/>
      <c r="C381" s="141"/>
      <c r="D381" s="153"/>
      <c r="E381" s="142"/>
      <c r="F381" s="143"/>
      <c r="G381" s="152"/>
      <c r="H381" s="152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  <c r="Z381" s="143"/>
    </row>
    <row r="382" spans="1:26" ht="24.75">
      <c r="A382" s="143"/>
      <c r="B382" s="140"/>
      <c r="C382" s="141"/>
      <c r="D382" s="153"/>
      <c r="E382" s="142"/>
      <c r="F382" s="143"/>
      <c r="G382" s="150"/>
      <c r="H382" s="150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  <c r="Z382" s="143"/>
    </row>
    <row r="383" spans="1:26" ht="24.75">
      <c r="A383" s="143"/>
      <c r="B383" s="140"/>
      <c r="C383" s="141"/>
      <c r="D383" s="153"/>
      <c r="E383" s="142"/>
      <c r="F383" s="143"/>
      <c r="G383" s="152"/>
      <c r="H383" s="152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</row>
    <row r="384" spans="1:26" ht="24.75">
      <c r="A384" s="143"/>
      <c r="B384" s="140"/>
      <c r="C384" s="141"/>
      <c r="D384" s="153"/>
      <c r="E384" s="142"/>
      <c r="F384" s="143"/>
      <c r="G384" s="150"/>
      <c r="H384" s="150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  <c r="Z384" s="143"/>
    </row>
    <row r="385" spans="1:26" ht="24.75">
      <c r="A385" s="143"/>
      <c r="B385" s="140"/>
      <c r="C385" s="141"/>
      <c r="D385" s="153"/>
      <c r="E385" s="142"/>
      <c r="F385" s="143"/>
      <c r="G385" s="152"/>
      <c r="H385" s="152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  <c r="Z385" s="143"/>
    </row>
    <row r="386" spans="1:26" ht="24.75">
      <c r="A386" s="143"/>
      <c r="B386" s="140"/>
      <c r="C386" s="141"/>
      <c r="D386" s="153"/>
      <c r="E386" s="142"/>
      <c r="F386" s="143"/>
      <c r="G386" s="150"/>
      <c r="H386" s="150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  <c r="Z386" s="143"/>
    </row>
    <row r="387" spans="1:26" ht="24.75">
      <c r="A387" s="143"/>
      <c r="B387" s="140"/>
      <c r="C387" s="141"/>
      <c r="D387" s="153"/>
      <c r="E387" s="142"/>
      <c r="F387" s="143"/>
      <c r="G387" s="152"/>
      <c r="H387" s="152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  <c r="Z387" s="143"/>
    </row>
    <row r="388" spans="1:26" ht="24.75">
      <c r="A388" s="143"/>
      <c r="B388" s="140"/>
      <c r="C388" s="141"/>
      <c r="D388" s="153"/>
      <c r="E388" s="142"/>
      <c r="F388" s="143"/>
      <c r="G388" s="150"/>
      <c r="H388" s="150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  <c r="Z388" s="143"/>
    </row>
    <row r="389" spans="1:26" ht="24.75">
      <c r="A389" s="143"/>
      <c r="B389" s="140"/>
      <c r="C389" s="141"/>
      <c r="D389" s="153"/>
      <c r="E389" s="142"/>
      <c r="F389" s="143"/>
      <c r="G389" s="152"/>
      <c r="H389" s="152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  <c r="Z389" s="143"/>
    </row>
    <row r="390" spans="1:26" ht="24.75">
      <c r="A390" s="143"/>
      <c r="B390" s="140"/>
      <c r="C390" s="141"/>
      <c r="D390" s="153"/>
      <c r="E390" s="142"/>
      <c r="F390" s="143"/>
      <c r="G390" s="150"/>
      <c r="H390" s="150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  <c r="Z390" s="143"/>
    </row>
    <row r="391" spans="1:26" ht="24.75">
      <c r="A391" s="143"/>
      <c r="B391" s="140"/>
      <c r="C391" s="141"/>
      <c r="D391" s="153"/>
      <c r="E391" s="142"/>
      <c r="F391" s="143"/>
      <c r="G391" s="152"/>
      <c r="H391" s="152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  <c r="Z391" s="143"/>
    </row>
    <row r="392" spans="1:26" ht="24.75">
      <c r="A392" s="143"/>
      <c r="B392" s="140"/>
      <c r="C392" s="141"/>
      <c r="D392" s="153"/>
      <c r="E392" s="142"/>
      <c r="F392" s="143"/>
      <c r="G392" s="150"/>
      <c r="H392" s="150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  <c r="Z392" s="143"/>
    </row>
    <row r="393" spans="1:26" ht="24.75">
      <c r="A393" s="143"/>
      <c r="B393" s="140"/>
      <c r="C393" s="141"/>
      <c r="D393" s="153"/>
      <c r="E393" s="142"/>
      <c r="F393" s="143"/>
      <c r="G393" s="152"/>
      <c r="H393" s="152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  <c r="Z393" s="143"/>
    </row>
    <row r="394" spans="1:26" ht="24.75">
      <c r="A394" s="143"/>
      <c r="B394" s="140"/>
      <c r="C394" s="141"/>
      <c r="D394" s="153"/>
      <c r="E394" s="142"/>
      <c r="F394" s="143"/>
      <c r="G394" s="150"/>
      <c r="H394" s="150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  <c r="Z394" s="143"/>
    </row>
    <row r="395" spans="1:26" ht="24.75">
      <c r="A395" s="143"/>
      <c r="B395" s="140"/>
      <c r="C395" s="141"/>
      <c r="D395" s="153"/>
      <c r="E395" s="142"/>
      <c r="F395" s="143"/>
      <c r="G395" s="152"/>
      <c r="H395" s="152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  <c r="Z395" s="143"/>
    </row>
    <row r="396" spans="1:26" ht="24.75">
      <c r="A396" s="143"/>
      <c r="B396" s="140"/>
      <c r="C396" s="141"/>
      <c r="D396" s="153"/>
      <c r="E396" s="142"/>
      <c r="F396" s="143"/>
      <c r="G396" s="150"/>
      <c r="H396" s="150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  <c r="Z396" s="143"/>
    </row>
    <row r="397" spans="1:26" ht="24.75">
      <c r="A397" s="143"/>
      <c r="B397" s="140"/>
      <c r="C397" s="141"/>
      <c r="D397" s="153"/>
      <c r="E397" s="142"/>
      <c r="F397" s="143"/>
      <c r="G397" s="152"/>
      <c r="H397" s="152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  <c r="Z397" s="143"/>
    </row>
    <row r="398" spans="1:26" ht="24.75">
      <c r="A398" s="143"/>
      <c r="B398" s="140"/>
      <c r="C398" s="141"/>
      <c r="D398" s="153"/>
      <c r="E398" s="142"/>
      <c r="F398" s="143"/>
      <c r="G398" s="150"/>
      <c r="H398" s="150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  <c r="Z398" s="143"/>
    </row>
    <row r="399" spans="1:26" ht="24.75">
      <c r="A399" s="143"/>
      <c r="B399" s="140"/>
      <c r="C399" s="141"/>
      <c r="D399" s="153"/>
      <c r="E399" s="142"/>
      <c r="F399" s="143"/>
      <c r="G399" s="152"/>
      <c r="H399" s="152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  <c r="Z399" s="143"/>
    </row>
    <row r="400" spans="1:26" ht="24.75">
      <c r="A400" s="143"/>
      <c r="B400" s="140"/>
      <c r="C400" s="141"/>
      <c r="D400" s="153"/>
      <c r="E400" s="142"/>
      <c r="F400" s="143"/>
      <c r="G400" s="150"/>
      <c r="H400" s="150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  <c r="Z400" s="143"/>
    </row>
    <row r="401" spans="1:26" ht="24.75">
      <c r="A401" s="143"/>
      <c r="B401" s="140"/>
      <c r="C401" s="141"/>
      <c r="D401" s="153"/>
      <c r="E401" s="142"/>
      <c r="F401" s="143"/>
      <c r="G401" s="152"/>
      <c r="H401" s="152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  <c r="Z401" s="143"/>
    </row>
    <row r="402" spans="1:26" ht="24.75">
      <c r="A402" s="143"/>
      <c r="B402" s="140"/>
      <c r="C402" s="141"/>
      <c r="D402" s="153"/>
      <c r="E402" s="142"/>
      <c r="F402" s="143"/>
      <c r="G402" s="150"/>
      <c r="H402" s="150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  <c r="Z402" s="143"/>
    </row>
    <row r="403" spans="1:26" ht="24.75">
      <c r="A403" s="143"/>
      <c r="B403" s="140"/>
      <c r="C403" s="141"/>
      <c r="D403" s="153"/>
      <c r="E403" s="142"/>
      <c r="F403" s="143"/>
      <c r="G403" s="152"/>
      <c r="H403" s="152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  <c r="Z403" s="143"/>
    </row>
    <row r="404" spans="1:26" ht="24.75">
      <c r="A404" s="143"/>
      <c r="B404" s="140"/>
      <c r="C404" s="141"/>
      <c r="D404" s="153"/>
      <c r="E404" s="142"/>
      <c r="F404" s="143"/>
      <c r="G404" s="150"/>
      <c r="H404" s="150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  <c r="Z404" s="143"/>
    </row>
    <row r="405" spans="1:26" ht="24.75">
      <c r="A405" s="143"/>
      <c r="B405" s="140"/>
      <c r="C405" s="141"/>
      <c r="D405" s="153"/>
      <c r="E405" s="142"/>
      <c r="F405" s="143"/>
      <c r="G405" s="152"/>
      <c r="H405" s="152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  <c r="Z405" s="143"/>
    </row>
    <row r="406" spans="1:26" ht="24.75">
      <c r="A406" s="143"/>
      <c r="B406" s="140"/>
      <c r="C406" s="141"/>
      <c r="D406" s="153"/>
      <c r="E406" s="142"/>
      <c r="F406" s="143"/>
      <c r="G406" s="150"/>
      <c r="H406" s="150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  <c r="Z406" s="143"/>
    </row>
    <row r="407" spans="1:26" ht="24.75">
      <c r="A407" s="143"/>
      <c r="B407" s="140"/>
      <c r="C407" s="141"/>
      <c r="D407" s="153"/>
      <c r="E407" s="142"/>
      <c r="F407" s="143"/>
      <c r="G407" s="152"/>
      <c r="H407" s="152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  <c r="Z407" s="143"/>
    </row>
    <row r="408" spans="1:26" ht="24.75">
      <c r="A408" s="143"/>
      <c r="B408" s="140"/>
      <c r="C408" s="141"/>
      <c r="D408" s="153"/>
      <c r="E408" s="142"/>
      <c r="F408" s="143"/>
      <c r="G408" s="150"/>
      <c r="H408" s="150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</row>
    <row r="409" spans="1:26" ht="24.75">
      <c r="A409" s="143"/>
      <c r="B409" s="140"/>
      <c r="C409" s="141"/>
      <c r="D409" s="153"/>
      <c r="E409" s="142"/>
      <c r="F409" s="143"/>
      <c r="G409" s="152"/>
      <c r="H409" s="152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  <c r="Z409" s="143"/>
    </row>
    <row r="410" spans="1:26" ht="24.75">
      <c r="A410" s="143"/>
      <c r="B410" s="140"/>
      <c r="C410" s="141"/>
      <c r="D410" s="153"/>
      <c r="E410" s="142"/>
      <c r="F410" s="143"/>
      <c r="G410" s="150"/>
      <c r="H410" s="150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</row>
    <row r="411" spans="1:26" ht="24.75">
      <c r="A411" s="143"/>
      <c r="B411" s="140"/>
      <c r="C411" s="141"/>
      <c r="D411" s="153"/>
      <c r="E411" s="142"/>
      <c r="F411" s="143"/>
      <c r="G411" s="152"/>
      <c r="H411" s="152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  <c r="Z411" s="143"/>
    </row>
    <row r="412" spans="1:26" ht="24.75">
      <c r="A412" s="143"/>
      <c r="B412" s="140"/>
      <c r="C412" s="141"/>
      <c r="D412" s="153"/>
      <c r="E412" s="142"/>
      <c r="F412" s="143"/>
      <c r="G412" s="150"/>
      <c r="H412" s="150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  <c r="Z412" s="143"/>
    </row>
    <row r="413" spans="1:26" ht="24.75">
      <c r="A413" s="143"/>
      <c r="B413" s="140"/>
      <c r="C413" s="141"/>
      <c r="D413" s="153"/>
      <c r="E413" s="142"/>
      <c r="F413" s="143"/>
      <c r="G413" s="152"/>
      <c r="H413" s="152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  <c r="Z413" s="143"/>
    </row>
    <row r="414" spans="1:26" ht="24.75">
      <c r="A414" s="143"/>
      <c r="B414" s="140"/>
      <c r="C414" s="141"/>
      <c r="D414" s="153"/>
      <c r="E414" s="142"/>
      <c r="F414" s="143"/>
      <c r="G414" s="150"/>
      <c r="H414" s="150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  <c r="Z414" s="143"/>
    </row>
    <row r="415" spans="1:26" ht="24.75">
      <c r="A415" s="143"/>
      <c r="B415" s="140"/>
      <c r="C415" s="141"/>
      <c r="D415" s="153"/>
      <c r="E415" s="142"/>
      <c r="F415" s="143"/>
      <c r="G415" s="152"/>
      <c r="H415" s="152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  <c r="Z415" s="143"/>
    </row>
    <row r="416" spans="1:26" ht="24.75">
      <c r="A416" s="143"/>
      <c r="B416" s="140"/>
      <c r="C416" s="141"/>
      <c r="D416" s="153"/>
      <c r="E416" s="142"/>
      <c r="F416" s="143"/>
      <c r="G416" s="150"/>
      <c r="H416" s="150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  <c r="Z416" s="143"/>
    </row>
    <row r="417" spans="1:26" ht="24.75">
      <c r="A417" s="143"/>
      <c r="B417" s="140"/>
      <c r="C417" s="141"/>
      <c r="D417" s="153"/>
      <c r="E417" s="142"/>
      <c r="F417" s="143"/>
      <c r="G417" s="152"/>
      <c r="H417" s="152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  <c r="Z417" s="143"/>
    </row>
    <row r="418" spans="1:26" ht="24.75">
      <c r="A418" s="143"/>
      <c r="B418" s="140"/>
      <c r="C418" s="141"/>
      <c r="D418" s="153"/>
      <c r="E418" s="142"/>
      <c r="F418" s="143"/>
      <c r="G418" s="150"/>
      <c r="H418" s="150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  <c r="Z418" s="143"/>
    </row>
    <row r="419" spans="1:26" ht="24.75">
      <c r="A419" s="143"/>
      <c r="B419" s="140"/>
      <c r="C419" s="141"/>
      <c r="D419" s="153"/>
      <c r="E419" s="142"/>
      <c r="F419" s="143"/>
      <c r="G419" s="152"/>
      <c r="H419" s="152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  <c r="Z419" s="143"/>
    </row>
    <row r="420" spans="1:26" ht="24.75">
      <c r="A420" s="143"/>
      <c r="B420" s="140"/>
      <c r="C420" s="141"/>
      <c r="D420" s="153"/>
      <c r="E420" s="142"/>
      <c r="F420" s="143"/>
      <c r="G420" s="150"/>
      <c r="H420" s="150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3"/>
      <c r="Z420" s="143"/>
    </row>
    <row r="421" spans="1:26" ht="24.75">
      <c r="A421" s="143"/>
      <c r="B421" s="140"/>
      <c r="C421" s="141"/>
      <c r="D421" s="153"/>
      <c r="E421" s="142"/>
      <c r="F421" s="143"/>
      <c r="G421" s="152"/>
      <c r="H421" s="152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3"/>
      <c r="Z421" s="143"/>
    </row>
    <row r="422" spans="1:26" ht="24.75">
      <c r="A422" s="143"/>
      <c r="B422" s="140"/>
      <c r="C422" s="141"/>
      <c r="D422" s="153"/>
      <c r="E422" s="142"/>
      <c r="F422" s="143"/>
      <c r="G422" s="150"/>
      <c r="H422" s="150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  <c r="Z422" s="143"/>
    </row>
    <row r="423" spans="1:26" ht="24.75">
      <c r="A423" s="143"/>
      <c r="B423" s="140"/>
      <c r="C423" s="141"/>
      <c r="D423" s="153"/>
      <c r="E423" s="142"/>
      <c r="F423" s="143"/>
      <c r="G423" s="152"/>
      <c r="H423" s="152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3"/>
      <c r="Z423" s="143"/>
    </row>
    <row r="424" spans="1:26" ht="24.75">
      <c r="A424" s="143"/>
      <c r="B424" s="140"/>
      <c r="C424" s="141"/>
      <c r="D424" s="153"/>
      <c r="E424" s="142"/>
      <c r="F424" s="143"/>
      <c r="G424" s="150"/>
      <c r="H424" s="150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3"/>
      <c r="Z424" s="143"/>
    </row>
    <row r="425" spans="1:26" ht="24.75">
      <c r="A425" s="143"/>
      <c r="B425" s="140"/>
      <c r="C425" s="141"/>
      <c r="D425" s="153"/>
      <c r="E425" s="142"/>
      <c r="F425" s="143"/>
      <c r="G425" s="152"/>
      <c r="H425" s="152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  <c r="Y425" s="143"/>
      <c r="Z425" s="143"/>
    </row>
    <row r="426" spans="1:26" ht="24.75">
      <c r="A426" s="143"/>
      <c r="B426" s="140"/>
      <c r="C426" s="141"/>
      <c r="D426" s="153"/>
      <c r="E426" s="142"/>
      <c r="F426" s="143"/>
      <c r="G426" s="150"/>
      <c r="H426" s="150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  <c r="Z426" s="143"/>
    </row>
    <row r="427" spans="1:26" ht="24.75">
      <c r="A427" s="143"/>
      <c r="B427" s="140"/>
      <c r="C427" s="141"/>
      <c r="D427" s="153"/>
      <c r="E427" s="142"/>
      <c r="F427" s="143"/>
      <c r="G427" s="152"/>
      <c r="H427" s="152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  <c r="Z427" s="143"/>
    </row>
    <row r="428" spans="1:26" ht="24.75">
      <c r="A428" s="143"/>
      <c r="B428" s="140"/>
      <c r="C428" s="141"/>
      <c r="D428" s="153"/>
      <c r="E428" s="142"/>
      <c r="F428" s="143"/>
      <c r="G428" s="150"/>
      <c r="H428" s="150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  <c r="Z428" s="143"/>
    </row>
    <row r="429" spans="1:26" ht="24.75">
      <c r="A429" s="143"/>
      <c r="B429" s="140"/>
      <c r="C429" s="141"/>
      <c r="D429" s="153"/>
      <c r="E429" s="142"/>
      <c r="F429" s="143"/>
      <c r="G429" s="152"/>
      <c r="H429" s="152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  <c r="Z429" s="143"/>
    </row>
    <row r="430" spans="1:26" ht="24.75">
      <c r="A430" s="143"/>
      <c r="B430" s="140"/>
      <c r="C430" s="141"/>
      <c r="D430" s="153"/>
      <c r="E430" s="142"/>
      <c r="F430" s="143"/>
      <c r="G430" s="150"/>
      <c r="H430" s="150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  <c r="Z430" s="143"/>
    </row>
    <row r="431" spans="1:26" ht="24.75">
      <c r="A431" s="143"/>
      <c r="B431" s="140"/>
      <c r="C431" s="141"/>
      <c r="D431" s="153"/>
      <c r="E431" s="142"/>
      <c r="F431" s="143"/>
      <c r="G431" s="152"/>
      <c r="H431" s="152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  <c r="Z431" s="143"/>
    </row>
    <row r="432" spans="1:26" ht="24.75">
      <c r="A432" s="143"/>
      <c r="B432" s="140"/>
      <c r="C432" s="141"/>
      <c r="D432" s="153"/>
      <c r="E432" s="142"/>
      <c r="F432" s="143"/>
      <c r="G432" s="150"/>
      <c r="H432" s="150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  <c r="Y432" s="143"/>
      <c r="Z432" s="143"/>
    </row>
    <row r="433" spans="1:26" ht="24.75">
      <c r="A433" s="143"/>
      <c r="B433" s="140"/>
      <c r="C433" s="141"/>
      <c r="D433" s="153"/>
      <c r="E433" s="142"/>
      <c r="F433" s="143"/>
      <c r="G433" s="152"/>
      <c r="H433" s="152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  <c r="Z433" s="143"/>
    </row>
    <row r="434" spans="1:26" ht="24.75">
      <c r="A434" s="143"/>
      <c r="B434" s="140"/>
      <c r="C434" s="141"/>
      <c r="D434" s="153"/>
      <c r="E434" s="142"/>
      <c r="F434" s="143"/>
      <c r="G434" s="150"/>
      <c r="H434" s="150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  <c r="Y434" s="143"/>
      <c r="Z434" s="143"/>
    </row>
    <row r="435" spans="1:26" ht="24.75">
      <c r="A435" s="143"/>
      <c r="B435" s="140"/>
      <c r="C435" s="141"/>
      <c r="D435" s="153"/>
      <c r="E435" s="142"/>
      <c r="F435" s="143"/>
      <c r="G435" s="152"/>
      <c r="H435" s="152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  <c r="Y435" s="143"/>
      <c r="Z435" s="143"/>
    </row>
    <row r="436" spans="1:26" ht="24.75">
      <c r="A436" s="143"/>
      <c r="B436" s="140"/>
      <c r="C436" s="141"/>
      <c r="D436" s="153"/>
      <c r="E436" s="142"/>
      <c r="F436" s="143"/>
      <c r="G436" s="150"/>
      <c r="H436" s="150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  <c r="W436" s="143"/>
      <c r="X436" s="143"/>
      <c r="Y436" s="143"/>
      <c r="Z436" s="143"/>
    </row>
    <row r="437" spans="1:26" ht="24.75">
      <c r="A437" s="143"/>
      <c r="B437" s="140"/>
      <c r="C437" s="141"/>
      <c r="D437" s="153"/>
      <c r="E437" s="142"/>
      <c r="F437" s="143"/>
      <c r="G437" s="152"/>
      <c r="H437" s="152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  <c r="T437" s="143"/>
      <c r="U437" s="143"/>
      <c r="V437" s="143"/>
      <c r="W437" s="143"/>
      <c r="X437" s="143"/>
      <c r="Y437" s="143"/>
      <c r="Z437" s="143"/>
    </row>
    <row r="438" spans="1:26" ht="24.75">
      <c r="A438" s="143"/>
      <c r="B438" s="140"/>
      <c r="C438" s="141"/>
      <c r="D438" s="153"/>
      <c r="E438" s="142"/>
      <c r="F438" s="143"/>
      <c r="G438" s="150"/>
      <c r="H438" s="150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  <c r="T438" s="143"/>
      <c r="U438" s="143"/>
      <c r="V438" s="143"/>
      <c r="W438" s="143"/>
      <c r="X438" s="143"/>
      <c r="Y438" s="143"/>
      <c r="Z438" s="143"/>
    </row>
    <row r="439" spans="1:26" ht="24.75">
      <c r="A439" s="143"/>
      <c r="B439" s="140"/>
      <c r="C439" s="141"/>
      <c r="D439" s="153"/>
      <c r="E439" s="142"/>
      <c r="F439" s="143"/>
      <c r="G439" s="152"/>
      <c r="H439" s="152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  <c r="T439" s="143"/>
      <c r="U439" s="143"/>
      <c r="V439" s="143"/>
      <c r="W439" s="143"/>
      <c r="X439" s="143"/>
      <c r="Y439" s="143"/>
      <c r="Z439" s="143"/>
    </row>
    <row r="440" spans="1:26" ht="24.75">
      <c r="A440" s="143"/>
      <c r="B440" s="140"/>
      <c r="C440" s="141"/>
      <c r="D440" s="153"/>
      <c r="E440" s="142"/>
      <c r="F440" s="143"/>
      <c r="G440" s="150"/>
      <c r="H440" s="150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  <c r="T440" s="143"/>
      <c r="U440" s="143"/>
      <c r="V440" s="143"/>
      <c r="W440" s="143"/>
      <c r="X440" s="143"/>
      <c r="Y440" s="143"/>
      <c r="Z440" s="143"/>
    </row>
    <row r="441" spans="1:26" ht="24.75">
      <c r="A441" s="143"/>
      <c r="B441" s="140"/>
      <c r="C441" s="141"/>
      <c r="D441" s="153"/>
      <c r="E441" s="142"/>
      <c r="F441" s="143"/>
      <c r="G441" s="152"/>
      <c r="H441" s="152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  <c r="W441" s="143"/>
      <c r="X441" s="143"/>
      <c r="Y441" s="143"/>
      <c r="Z441" s="143"/>
    </row>
    <row r="442" spans="1:26" ht="24.75">
      <c r="A442" s="143"/>
      <c r="B442" s="140"/>
      <c r="C442" s="141"/>
      <c r="D442" s="153"/>
      <c r="E442" s="142"/>
      <c r="F442" s="143"/>
      <c r="G442" s="150"/>
      <c r="H442" s="150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  <c r="T442" s="143"/>
      <c r="U442" s="143"/>
      <c r="V442" s="143"/>
      <c r="W442" s="143"/>
      <c r="X442" s="143"/>
      <c r="Y442" s="143"/>
      <c r="Z442" s="143"/>
    </row>
    <row r="443" spans="1:26" ht="24.75">
      <c r="A443" s="143"/>
      <c r="B443" s="140"/>
      <c r="C443" s="141"/>
      <c r="D443" s="153"/>
      <c r="E443" s="142"/>
      <c r="F443" s="143"/>
      <c r="G443" s="152"/>
      <c r="H443" s="152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  <c r="T443" s="143"/>
      <c r="U443" s="143"/>
      <c r="V443" s="143"/>
      <c r="W443" s="143"/>
      <c r="X443" s="143"/>
      <c r="Y443" s="143"/>
      <c r="Z443" s="143"/>
    </row>
    <row r="444" spans="1:26" ht="24.75">
      <c r="A444" s="143"/>
      <c r="B444" s="140"/>
      <c r="C444" s="141"/>
      <c r="D444" s="153"/>
      <c r="E444" s="142"/>
      <c r="F444" s="143"/>
      <c r="G444" s="150"/>
      <c r="H444" s="150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  <c r="W444" s="143"/>
      <c r="X444" s="143"/>
      <c r="Y444" s="143"/>
      <c r="Z444" s="143"/>
    </row>
    <row r="445" spans="1:26" ht="24.75">
      <c r="A445" s="143"/>
      <c r="B445" s="140"/>
      <c r="C445" s="141"/>
      <c r="D445" s="153"/>
      <c r="E445" s="142"/>
      <c r="F445" s="143"/>
      <c r="G445" s="152"/>
      <c r="H445" s="152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  <c r="W445" s="143"/>
      <c r="X445" s="143"/>
      <c r="Y445" s="143"/>
      <c r="Z445" s="143"/>
    </row>
    <row r="446" spans="1:26" ht="24.75">
      <c r="A446" s="143"/>
      <c r="B446" s="140"/>
      <c r="C446" s="141"/>
      <c r="D446" s="153"/>
      <c r="E446" s="142"/>
      <c r="F446" s="143"/>
      <c r="G446" s="150"/>
      <c r="H446" s="150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  <c r="T446" s="143"/>
      <c r="U446" s="143"/>
      <c r="V446" s="143"/>
      <c r="W446" s="143"/>
      <c r="X446" s="143"/>
      <c r="Y446" s="143"/>
      <c r="Z446" s="143"/>
    </row>
    <row r="447" spans="1:26" ht="24.75">
      <c r="A447" s="143"/>
      <c r="B447" s="140"/>
      <c r="C447" s="141"/>
      <c r="D447" s="153"/>
      <c r="E447" s="142"/>
      <c r="F447" s="143"/>
      <c r="G447" s="152"/>
      <c r="H447" s="152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  <c r="T447" s="143"/>
      <c r="U447" s="143"/>
      <c r="V447" s="143"/>
      <c r="W447" s="143"/>
      <c r="X447" s="143"/>
      <c r="Y447" s="143"/>
      <c r="Z447" s="143"/>
    </row>
    <row r="448" spans="1:26" ht="24.75">
      <c r="A448" s="143"/>
      <c r="B448" s="140"/>
      <c r="C448" s="141"/>
      <c r="D448" s="153"/>
      <c r="E448" s="142"/>
      <c r="F448" s="143"/>
      <c r="G448" s="150"/>
      <c r="H448" s="150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  <c r="T448" s="143"/>
      <c r="U448" s="143"/>
      <c r="V448" s="143"/>
      <c r="W448" s="143"/>
      <c r="X448" s="143"/>
      <c r="Y448" s="143"/>
      <c r="Z448" s="143"/>
    </row>
    <row r="449" spans="1:26" ht="24.75">
      <c r="A449" s="143"/>
      <c r="B449" s="140"/>
      <c r="C449" s="141"/>
      <c r="D449" s="153"/>
      <c r="E449" s="142"/>
      <c r="F449" s="143"/>
      <c r="G449" s="152"/>
      <c r="H449" s="152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  <c r="W449" s="143"/>
      <c r="X449" s="143"/>
      <c r="Y449" s="143"/>
      <c r="Z449" s="143"/>
    </row>
    <row r="450" spans="1:26" ht="24.75">
      <c r="A450" s="143"/>
      <c r="B450" s="140"/>
      <c r="C450" s="141"/>
      <c r="D450" s="153"/>
      <c r="E450" s="142"/>
      <c r="F450" s="143"/>
      <c r="G450" s="150"/>
      <c r="H450" s="150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  <c r="W450" s="143"/>
      <c r="X450" s="143"/>
      <c r="Y450" s="143"/>
      <c r="Z450" s="143"/>
    </row>
    <row r="451" spans="1:26" ht="24.75">
      <c r="A451" s="143"/>
      <c r="B451" s="140"/>
      <c r="C451" s="141"/>
      <c r="D451" s="153"/>
      <c r="E451" s="142"/>
      <c r="F451" s="143"/>
      <c r="G451" s="152"/>
      <c r="H451" s="152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  <c r="W451" s="143"/>
      <c r="X451" s="143"/>
      <c r="Y451" s="143"/>
      <c r="Z451" s="143"/>
    </row>
    <row r="452" spans="1:26" ht="24.75">
      <c r="A452" s="143"/>
      <c r="B452" s="140"/>
      <c r="C452" s="141"/>
      <c r="D452" s="153"/>
      <c r="E452" s="142"/>
      <c r="F452" s="143"/>
      <c r="G452" s="150"/>
      <c r="H452" s="150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  <c r="W452" s="143"/>
      <c r="X452" s="143"/>
      <c r="Y452" s="143"/>
      <c r="Z452" s="143"/>
    </row>
    <row r="453" spans="1:26" ht="24.75">
      <c r="A453" s="143"/>
      <c r="B453" s="140"/>
      <c r="C453" s="141"/>
      <c r="D453" s="153"/>
      <c r="E453" s="142"/>
      <c r="F453" s="143"/>
      <c r="G453" s="152"/>
      <c r="H453" s="152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  <c r="W453" s="143"/>
      <c r="X453" s="143"/>
      <c r="Y453" s="143"/>
      <c r="Z453" s="143"/>
    </row>
    <row r="454" spans="1:26" ht="24.75">
      <c r="A454" s="143"/>
      <c r="B454" s="140"/>
      <c r="C454" s="141"/>
      <c r="D454" s="153"/>
      <c r="E454" s="142"/>
      <c r="F454" s="143"/>
      <c r="G454" s="150"/>
      <c r="H454" s="150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  <c r="W454" s="143"/>
      <c r="X454" s="143"/>
      <c r="Y454" s="143"/>
      <c r="Z454" s="143"/>
    </row>
    <row r="455" spans="1:26" ht="24.75">
      <c r="A455" s="143"/>
      <c r="B455" s="140"/>
      <c r="C455" s="141"/>
      <c r="D455" s="153"/>
      <c r="E455" s="142"/>
      <c r="F455" s="143"/>
      <c r="G455" s="152"/>
      <c r="H455" s="152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  <c r="W455" s="143"/>
      <c r="X455" s="143"/>
      <c r="Y455" s="143"/>
      <c r="Z455" s="143"/>
    </row>
    <row r="456" spans="1:26" ht="24.75">
      <c r="A456" s="143"/>
      <c r="B456" s="140"/>
      <c r="C456" s="141"/>
      <c r="D456" s="153"/>
      <c r="E456" s="142"/>
      <c r="F456" s="143"/>
      <c r="G456" s="150"/>
      <c r="H456" s="150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  <c r="W456" s="143"/>
      <c r="X456" s="143"/>
      <c r="Y456" s="143"/>
      <c r="Z456" s="143"/>
    </row>
    <row r="457" spans="1:26" ht="24.75">
      <c r="A457" s="143"/>
      <c r="B457" s="140"/>
      <c r="C457" s="141"/>
      <c r="D457" s="153"/>
      <c r="E457" s="142"/>
      <c r="F457" s="143"/>
      <c r="G457" s="152"/>
      <c r="H457" s="152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  <c r="Y457" s="143"/>
      <c r="Z457" s="143"/>
    </row>
    <row r="458" spans="1:26" ht="24.75">
      <c r="A458" s="143"/>
      <c r="B458" s="140"/>
      <c r="C458" s="141"/>
      <c r="D458" s="153"/>
      <c r="E458" s="142"/>
      <c r="F458" s="143"/>
      <c r="G458" s="150"/>
      <c r="H458" s="150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  <c r="W458" s="143"/>
      <c r="X458" s="143"/>
      <c r="Y458" s="143"/>
      <c r="Z458" s="143"/>
    </row>
    <row r="459" spans="1:26" ht="24.75">
      <c r="A459" s="143"/>
      <c r="B459" s="140"/>
      <c r="C459" s="141"/>
      <c r="D459" s="153"/>
      <c r="E459" s="142"/>
      <c r="F459" s="143"/>
      <c r="G459" s="152"/>
      <c r="H459" s="152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  <c r="W459" s="143"/>
      <c r="X459" s="143"/>
      <c r="Y459" s="143"/>
      <c r="Z459" s="143"/>
    </row>
    <row r="460" spans="1:26" ht="24.75">
      <c r="A460" s="143"/>
      <c r="B460" s="140"/>
      <c r="C460" s="141"/>
      <c r="D460" s="153"/>
      <c r="E460" s="142"/>
      <c r="F460" s="143"/>
      <c r="G460" s="150"/>
      <c r="H460" s="150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  <c r="W460" s="143"/>
      <c r="X460" s="143"/>
      <c r="Y460" s="143"/>
      <c r="Z460" s="143"/>
    </row>
    <row r="461" spans="1:26" ht="24.75">
      <c r="A461" s="143"/>
      <c r="B461" s="140"/>
      <c r="C461" s="141"/>
      <c r="D461" s="153"/>
      <c r="E461" s="142"/>
      <c r="F461" s="143"/>
      <c r="G461" s="152"/>
      <c r="H461" s="152"/>
      <c r="I461" s="143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  <c r="W461" s="143"/>
      <c r="X461" s="143"/>
      <c r="Y461" s="143"/>
      <c r="Z461" s="143"/>
    </row>
    <row r="462" spans="1:26" ht="24.75">
      <c r="A462" s="143"/>
      <c r="B462" s="140"/>
      <c r="C462" s="141"/>
      <c r="D462" s="153"/>
      <c r="E462" s="142"/>
      <c r="F462" s="143"/>
      <c r="G462" s="150"/>
      <c r="H462" s="150"/>
      <c r="I462" s="143"/>
      <c r="J462" s="143"/>
      <c r="K462" s="143"/>
      <c r="L462" s="143"/>
      <c r="M462" s="143"/>
      <c r="N462" s="143"/>
      <c r="O462" s="143"/>
      <c r="P462" s="143"/>
      <c r="Q462" s="143"/>
      <c r="R462" s="143"/>
      <c r="S462" s="143"/>
      <c r="T462" s="143"/>
      <c r="U462" s="143"/>
      <c r="V462" s="143"/>
      <c r="W462" s="143"/>
      <c r="X462" s="143"/>
      <c r="Y462" s="143"/>
      <c r="Z462" s="143"/>
    </row>
    <row r="463" spans="1:26" ht="24.75">
      <c r="A463" s="143"/>
      <c r="B463" s="140"/>
      <c r="C463" s="141"/>
      <c r="D463" s="153"/>
      <c r="E463" s="142"/>
      <c r="F463" s="143"/>
      <c r="G463" s="152"/>
      <c r="H463" s="152"/>
      <c r="I463" s="143"/>
      <c r="J463" s="143"/>
      <c r="K463" s="143"/>
      <c r="L463" s="143"/>
      <c r="M463" s="143"/>
      <c r="N463" s="143"/>
      <c r="O463" s="143"/>
      <c r="P463" s="143"/>
      <c r="Q463" s="143"/>
      <c r="R463" s="143"/>
      <c r="S463" s="143"/>
      <c r="T463" s="143"/>
      <c r="U463" s="143"/>
      <c r="V463" s="143"/>
      <c r="W463" s="143"/>
      <c r="X463" s="143"/>
      <c r="Y463" s="143"/>
      <c r="Z463" s="143"/>
    </row>
    <row r="464" spans="1:26" ht="24.75">
      <c r="A464" s="143"/>
      <c r="B464" s="140"/>
      <c r="C464" s="141"/>
      <c r="D464" s="153"/>
      <c r="E464" s="142"/>
      <c r="F464" s="143"/>
      <c r="G464" s="150"/>
      <c r="H464" s="150"/>
      <c r="I464" s="143"/>
      <c r="J464" s="143"/>
      <c r="K464" s="143"/>
      <c r="L464" s="143"/>
      <c r="M464" s="143"/>
      <c r="N464" s="143"/>
      <c r="O464" s="143"/>
      <c r="P464" s="143"/>
      <c r="Q464" s="143"/>
      <c r="R464" s="143"/>
      <c r="S464" s="143"/>
      <c r="T464" s="143"/>
      <c r="U464" s="143"/>
      <c r="V464" s="143"/>
      <c r="W464" s="143"/>
      <c r="X464" s="143"/>
      <c r="Y464" s="143"/>
      <c r="Z464" s="143"/>
    </row>
    <row r="465" spans="1:26" ht="24.75">
      <c r="A465" s="143"/>
      <c r="B465" s="140"/>
      <c r="C465" s="141"/>
      <c r="D465" s="153"/>
      <c r="E465" s="142"/>
      <c r="F465" s="143"/>
      <c r="G465" s="152"/>
      <c r="H465" s="152"/>
      <c r="I465" s="143"/>
      <c r="J465" s="143"/>
      <c r="K465" s="143"/>
      <c r="L465" s="143"/>
      <c r="M465" s="143"/>
      <c r="N465" s="143"/>
      <c r="O465" s="143"/>
      <c r="P465" s="143"/>
      <c r="Q465" s="143"/>
      <c r="R465" s="143"/>
      <c r="S465" s="143"/>
      <c r="T465" s="143"/>
      <c r="U465" s="143"/>
      <c r="V465" s="143"/>
      <c r="W465" s="143"/>
      <c r="X465" s="143"/>
      <c r="Y465" s="143"/>
      <c r="Z465" s="143"/>
    </row>
    <row r="466" spans="1:26" ht="24.75">
      <c r="A466" s="143"/>
      <c r="B466" s="140"/>
      <c r="C466" s="141"/>
      <c r="D466" s="153"/>
      <c r="E466" s="142"/>
      <c r="F466" s="143"/>
      <c r="G466" s="150"/>
      <c r="H466" s="150"/>
      <c r="I466" s="143"/>
      <c r="J466" s="143"/>
      <c r="K466" s="143"/>
      <c r="L466" s="143"/>
      <c r="M466" s="143"/>
      <c r="N466" s="143"/>
      <c r="O466" s="143"/>
      <c r="P466" s="143"/>
      <c r="Q466" s="143"/>
      <c r="R466" s="143"/>
      <c r="S466" s="143"/>
      <c r="T466" s="143"/>
      <c r="U466" s="143"/>
      <c r="V466" s="143"/>
      <c r="W466" s="143"/>
      <c r="X466" s="143"/>
      <c r="Y466" s="143"/>
      <c r="Z466" s="143"/>
    </row>
    <row r="467" spans="1:26" ht="24.75">
      <c r="A467" s="143"/>
      <c r="B467" s="140"/>
      <c r="C467" s="141"/>
      <c r="D467" s="153"/>
      <c r="E467" s="142"/>
      <c r="F467" s="143"/>
      <c r="G467" s="152"/>
      <c r="H467" s="152"/>
      <c r="I467" s="143"/>
      <c r="J467" s="143"/>
      <c r="K467" s="143"/>
      <c r="L467" s="143"/>
      <c r="M467" s="143"/>
      <c r="N467" s="143"/>
      <c r="O467" s="143"/>
      <c r="P467" s="143"/>
      <c r="Q467" s="143"/>
      <c r="R467" s="143"/>
      <c r="S467" s="143"/>
      <c r="T467" s="143"/>
      <c r="U467" s="143"/>
      <c r="V467" s="143"/>
      <c r="W467" s="143"/>
      <c r="X467" s="143"/>
      <c r="Y467" s="143"/>
      <c r="Z467" s="143"/>
    </row>
    <row r="468" spans="1:26" ht="24.75">
      <c r="A468" s="143"/>
      <c r="B468" s="140"/>
      <c r="C468" s="141"/>
      <c r="D468" s="153"/>
      <c r="E468" s="142"/>
      <c r="F468" s="143"/>
      <c r="G468" s="150"/>
      <c r="H468" s="150"/>
      <c r="I468" s="143"/>
      <c r="J468" s="143"/>
      <c r="K468" s="143"/>
      <c r="L468" s="143"/>
      <c r="M468" s="143"/>
      <c r="N468" s="143"/>
      <c r="O468" s="143"/>
      <c r="P468" s="143"/>
      <c r="Q468" s="143"/>
      <c r="R468" s="143"/>
      <c r="S468" s="143"/>
      <c r="T468" s="143"/>
      <c r="U468" s="143"/>
      <c r="V468" s="143"/>
      <c r="W468" s="143"/>
      <c r="X468" s="143"/>
      <c r="Y468" s="143"/>
      <c r="Z468" s="143"/>
    </row>
    <row r="469" spans="1:26" ht="24.75">
      <c r="A469" s="143"/>
      <c r="B469" s="140"/>
      <c r="C469" s="141"/>
      <c r="D469" s="153"/>
      <c r="E469" s="142"/>
      <c r="F469" s="143"/>
      <c r="G469" s="152"/>
      <c r="H469" s="152"/>
      <c r="I469" s="143"/>
      <c r="J469" s="143"/>
      <c r="K469" s="143"/>
      <c r="L469" s="143"/>
      <c r="M469" s="143"/>
      <c r="N469" s="143"/>
      <c r="O469" s="143"/>
      <c r="P469" s="143"/>
      <c r="Q469" s="143"/>
      <c r="R469" s="143"/>
      <c r="S469" s="143"/>
      <c r="T469" s="143"/>
      <c r="U469" s="143"/>
      <c r="V469" s="143"/>
      <c r="W469" s="143"/>
      <c r="X469" s="143"/>
      <c r="Y469" s="143"/>
      <c r="Z469" s="143"/>
    </row>
    <row r="470" spans="1:26" ht="24.75">
      <c r="A470" s="143"/>
      <c r="B470" s="140"/>
      <c r="C470" s="141"/>
      <c r="D470" s="153"/>
      <c r="E470" s="142"/>
      <c r="F470" s="143"/>
      <c r="G470" s="150"/>
      <c r="H470" s="150"/>
      <c r="I470" s="143"/>
      <c r="J470" s="143"/>
      <c r="K470" s="143"/>
      <c r="L470" s="143"/>
      <c r="M470" s="143"/>
      <c r="N470" s="143"/>
      <c r="O470" s="143"/>
      <c r="P470" s="143"/>
      <c r="Q470" s="143"/>
      <c r="R470" s="143"/>
      <c r="S470" s="143"/>
      <c r="T470" s="143"/>
      <c r="U470" s="143"/>
      <c r="V470" s="143"/>
      <c r="W470" s="143"/>
      <c r="X470" s="143"/>
      <c r="Y470" s="143"/>
      <c r="Z470" s="143"/>
    </row>
    <row r="471" spans="1:26" ht="24.75">
      <c r="A471" s="143"/>
      <c r="B471" s="140"/>
      <c r="C471" s="141"/>
      <c r="D471" s="153"/>
      <c r="E471" s="142"/>
      <c r="F471" s="143"/>
      <c r="G471" s="152"/>
      <c r="H471" s="152"/>
      <c r="I471" s="143"/>
      <c r="J471" s="143"/>
      <c r="K471" s="143"/>
      <c r="L471" s="143"/>
      <c r="M471" s="143"/>
      <c r="N471" s="143"/>
      <c r="O471" s="143"/>
      <c r="P471" s="143"/>
      <c r="Q471" s="143"/>
      <c r="R471" s="143"/>
      <c r="S471" s="143"/>
      <c r="T471" s="143"/>
      <c r="U471" s="143"/>
      <c r="V471" s="143"/>
      <c r="W471" s="143"/>
      <c r="X471" s="143"/>
      <c r="Y471" s="143"/>
      <c r="Z471" s="143"/>
    </row>
    <row r="472" spans="1:26" ht="24.75">
      <c r="A472" s="143"/>
      <c r="B472" s="140"/>
      <c r="C472" s="141"/>
      <c r="D472" s="153"/>
      <c r="E472" s="142"/>
      <c r="F472" s="143"/>
      <c r="G472" s="150"/>
      <c r="H472" s="150"/>
      <c r="I472" s="143"/>
      <c r="J472" s="143"/>
      <c r="K472" s="143"/>
      <c r="L472" s="143"/>
      <c r="M472" s="143"/>
      <c r="N472" s="143"/>
      <c r="O472" s="143"/>
      <c r="P472" s="143"/>
      <c r="Q472" s="143"/>
      <c r="R472" s="143"/>
      <c r="S472" s="143"/>
      <c r="T472" s="143"/>
      <c r="U472" s="143"/>
      <c r="V472" s="143"/>
      <c r="W472" s="143"/>
      <c r="X472" s="143"/>
      <c r="Y472" s="143"/>
      <c r="Z472" s="143"/>
    </row>
    <row r="473" spans="1:26" ht="24.75">
      <c r="A473" s="143"/>
      <c r="B473" s="140"/>
      <c r="C473" s="141"/>
      <c r="D473" s="153"/>
      <c r="E473" s="142"/>
      <c r="F473" s="143"/>
      <c r="G473" s="152"/>
      <c r="H473" s="152"/>
      <c r="I473" s="143"/>
      <c r="J473" s="143"/>
      <c r="K473" s="143"/>
      <c r="L473" s="143"/>
      <c r="M473" s="143"/>
      <c r="N473" s="143"/>
      <c r="O473" s="143"/>
      <c r="P473" s="143"/>
      <c r="Q473" s="143"/>
      <c r="R473" s="143"/>
      <c r="S473" s="143"/>
      <c r="T473" s="143"/>
      <c r="U473" s="143"/>
      <c r="V473" s="143"/>
      <c r="W473" s="143"/>
      <c r="X473" s="143"/>
      <c r="Y473" s="143"/>
      <c r="Z473" s="143"/>
    </row>
    <row r="474" spans="1:26" ht="24.75">
      <c r="A474" s="143"/>
      <c r="B474" s="140"/>
      <c r="C474" s="141"/>
      <c r="D474" s="153"/>
      <c r="E474" s="142"/>
      <c r="F474" s="143"/>
      <c r="G474" s="150"/>
      <c r="H474" s="150"/>
      <c r="I474" s="143"/>
      <c r="J474" s="143"/>
      <c r="K474" s="143"/>
      <c r="L474" s="143"/>
      <c r="M474" s="143"/>
      <c r="N474" s="143"/>
      <c r="O474" s="143"/>
      <c r="P474" s="143"/>
      <c r="Q474" s="143"/>
      <c r="R474" s="143"/>
      <c r="S474" s="143"/>
      <c r="T474" s="143"/>
      <c r="U474" s="143"/>
      <c r="V474" s="143"/>
      <c r="W474" s="143"/>
      <c r="X474" s="143"/>
      <c r="Y474" s="143"/>
      <c r="Z474" s="143"/>
    </row>
    <row r="475" spans="1:26" ht="24.75">
      <c r="A475" s="143"/>
      <c r="B475" s="140"/>
      <c r="C475" s="141"/>
      <c r="D475" s="153"/>
      <c r="E475" s="142"/>
      <c r="F475" s="143"/>
      <c r="G475" s="152"/>
      <c r="H475" s="152"/>
      <c r="I475" s="143"/>
      <c r="J475" s="143"/>
      <c r="K475" s="143"/>
      <c r="L475" s="143"/>
      <c r="M475" s="143"/>
      <c r="N475" s="143"/>
      <c r="O475" s="143"/>
      <c r="P475" s="143"/>
      <c r="Q475" s="143"/>
      <c r="R475" s="143"/>
      <c r="S475" s="143"/>
      <c r="T475" s="143"/>
      <c r="U475" s="143"/>
      <c r="V475" s="143"/>
      <c r="W475" s="143"/>
      <c r="X475" s="143"/>
      <c r="Y475" s="143"/>
      <c r="Z475" s="143"/>
    </row>
    <row r="476" spans="1:26" ht="24.75">
      <c r="A476" s="143"/>
      <c r="B476" s="140"/>
      <c r="C476" s="141"/>
      <c r="D476" s="153"/>
      <c r="E476" s="142"/>
      <c r="F476" s="143"/>
      <c r="G476" s="150"/>
      <c r="H476" s="150"/>
      <c r="I476" s="143"/>
      <c r="J476" s="143"/>
      <c r="K476" s="143"/>
      <c r="L476" s="143"/>
      <c r="M476" s="143"/>
      <c r="N476" s="143"/>
      <c r="O476" s="143"/>
      <c r="P476" s="143"/>
      <c r="Q476" s="143"/>
      <c r="R476" s="143"/>
      <c r="S476" s="143"/>
      <c r="T476" s="143"/>
      <c r="U476" s="143"/>
      <c r="V476" s="143"/>
      <c r="W476" s="143"/>
      <c r="X476" s="143"/>
      <c r="Y476" s="143"/>
      <c r="Z476" s="143"/>
    </row>
    <row r="477" spans="1:26" ht="24.75">
      <c r="A477" s="143"/>
      <c r="B477" s="140"/>
      <c r="C477" s="141"/>
      <c r="D477" s="153"/>
      <c r="E477" s="142"/>
      <c r="F477" s="143"/>
      <c r="G477" s="152"/>
      <c r="H477" s="152"/>
      <c r="I477" s="143"/>
      <c r="J477" s="143"/>
      <c r="K477" s="143"/>
      <c r="L477" s="143"/>
      <c r="M477" s="143"/>
      <c r="N477" s="143"/>
      <c r="O477" s="143"/>
      <c r="P477" s="143"/>
      <c r="Q477" s="143"/>
      <c r="R477" s="143"/>
      <c r="S477" s="143"/>
      <c r="T477" s="143"/>
      <c r="U477" s="143"/>
      <c r="V477" s="143"/>
      <c r="W477" s="143"/>
      <c r="X477" s="143"/>
      <c r="Y477" s="143"/>
      <c r="Z477" s="143"/>
    </row>
    <row r="478" spans="1:26" ht="24.75">
      <c r="A478" s="143"/>
      <c r="B478" s="140"/>
      <c r="C478" s="141"/>
      <c r="D478" s="153"/>
      <c r="E478" s="142"/>
      <c r="F478" s="143"/>
      <c r="G478" s="150"/>
      <c r="H478" s="150"/>
      <c r="I478" s="143"/>
      <c r="J478" s="143"/>
      <c r="K478" s="143"/>
      <c r="L478" s="143"/>
      <c r="M478" s="143"/>
      <c r="N478" s="143"/>
      <c r="O478" s="143"/>
      <c r="P478" s="143"/>
      <c r="Q478" s="143"/>
      <c r="R478" s="143"/>
      <c r="S478" s="143"/>
      <c r="T478" s="143"/>
      <c r="U478" s="143"/>
      <c r="V478" s="143"/>
      <c r="W478" s="143"/>
      <c r="X478" s="143"/>
      <c r="Y478" s="143"/>
      <c r="Z478" s="143"/>
    </row>
    <row r="479" spans="1:26" ht="24.75">
      <c r="A479" s="143"/>
      <c r="B479" s="140"/>
      <c r="C479" s="141"/>
      <c r="D479" s="153"/>
      <c r="E479" s="142"/>
      <c r="F479" s="143"/>
      <c r="G479" s="152"/>
      <c r="H479" s="152"/>
      <c r="I479" s="143"/>
      <c r="J479" s="143"/>
      <c r="K479" s="143"/>
      <c r="L479" s="143"/>
      <c r="M479" s="143"/>
      <c r="N479" s="143"/>
      <c r="O479" s="143"/>
      <c r="P479" s="143"/>
      <c r="Q479" s="143"/>
      <c r="R479" s="143"/>
      <c r="S479" s="143"/>
      <c r="T479" s="143"/>
      <c r="U479" s="143"/>
      <c r="V479" s="143"/>
      <c r="W479" s="143"/>
      <c r="X479" s="143"/>
      <c r="Y479" s="143"/>
      <c r="Z479" s="143"/>
    </row>
    <row r="480" spans="1:26" ht="24.75">
      <c r="A480" s="143"/>
      <c r="B480" s="140"/>
      <c r="C480" s="141"/>
      <c r="D480" s="153"/>
      <c r="E480" s="142"/>
      <c r="F480" s="143"/>
      <c r="G480" s="150"/>
      <c r="H480" s="150"/>
      <c r="I480" s="143"/>
      <c r="J480" s="143"/>
      <c r="K480" s="143"/>
      <c r="L480" s="143"/>
      <c r="M480" s="143"/>
      <c r="N480" s="143"/>
      <c r="O480" s="143"/>
      <c r="P480" s="143"/>
      <c r="Q480" s="143"/>
      <c r="R480" s="143"/>
      <c r="S480" s="143"/>
      <c r="T480" s="143"/>
      <c r="U480" s="143"/>
      <c r="V480" s="143"/>
      <c r="W480" s="143"/>
      <c r="X480" s="143"/>
      <c r="Y480" s="143"/>
      <c r="Z480" s="143"/>
    </row>
    <row r="481" spans="1:26" ht="24.75">
      <c r="A481" s="143"/>
      <c r="B481" s="140"/>
      <c r="C481" s="141"/>
      <c r="D481" s="153"/>
      <c r="E481" s="142"/>
      <c r="F481" s="143"/>
      <c r="G481" s="152"/>
      <c r="H481" s="152"/>
      <c r="I481" s="143"/>
      <c r="J481" s="143"/>
      <c r="K481" s="143"/>
      <c r="L481" s="143"/>
      <c r="M481" s="143"/>
      <c r="N481" s="143"/>
      <c r="O481" s="143"/>
      <c r="P481" s="143"/>
      <c r="Q481" s="143"/>
      <c r="R481" s="143"/>
      <c r="S481" s="143"/>
      <c r="T481" s="143"/>
      <c r="U481" s="143"/>
      <c r="V481" s="143"/>
      <c r="W481" s="143"/>
      <c r="X481" s="143"/>
      <c r="Y481" s="143"/>
      <c r="Z481" s="143"/>
    </row>
    <row r="482" spans="1:26" ht="24.75">
      <c r="A482" s="143"/>
      <c r="B482" s="140"/>
      <c r="C482" s="141"/>
      <c r="D482" s="153"/>
      <c r="E482" s="142"/>
      <c r="F482" s="143"/>
      <c r="G482" s="150"/>
      <c r="H482" s="150"/>
      <c r="I482" s="143"/>
      <c r="J482" s="143"/>
      <c r="K482" s="143"/>
      <c r="L482" s="143"/>
      <c r="M482" s="143"/>
      <c r="N482" s="143"/>
      <c r="O482" s="143"/>
      <c r="P482" s="143"/>
      <c r="Q482" s="143"/>
      <c r="R482" s="143"/>
      <c r="S482" s="143"/>
      <c r="T482" s="143"/>
      <c r="U482" s="143"/>
      <c r="V482" s="143"/>
      <c r="W482" s="143"/>
      <c r="X482" s="143"/>
      <c r="Y482" s="143"/>
      <c r="Z482" s="143"/>
    </row>
    <row r="483" spans="1:26" ht="24.75">
      <c r="A483" s="143"/>
      <c r="B483" s="140"/>
      <c r="C483" s="141"/>
      <c r="D483" s="153"/>
      <c r="E483" s="142"/>
      <c r="F483" s="143"/>
      <c r="G483" s="152"/>
      <c r="H483" s="152"/>
      <c r="I483" s="143"/>
      <c r="J483" s="143"/>
      <c r="K483" s="143"/>
      <c r="L483" s="143"/>
      <c r="M483" s="143"/>
      <c r="N483" s="143"/>
      <c r="O483" s="143"/>
      <c r="P483" s="143"/>
      <c r="Q483" s="143"/>
      <c r="R483" s="143"/>
      <c r="S483" s="143"/>
      <c r="T483" s="143"/>
      <c r="U483" s="143"/>
      <c r="V483" s="143"/>
      <c r="W483" s="143"/>
      <c r="X483" s="143"/>
      <c r="Y483" s="143"/>
      <c r="Z483" s="143"/>
    </row>
    <row r="484" spans="1:26" ht="24.75">
      <c r="A484" s="143"/>
      <c r="B484" s="140"/>
      <c r="C484" s="141"/>
      <c r="D484" s="153"/>
      <c r="E484" s="142"/>
      <c r="F484" s="143"/>
      <c r="G484" s="150"/>
      <c r="H484" s="150"/>
      <c r="I484" s="143"/>
      <c r="J484" s="143"/>
      <c r="K484" s="143"/>
      <c r="L484" s="143"/>
      <c r="M484" s="143"/>
      <c r="N484" s="143"/>
      <c r="O484" s="143"/>
      <c r="P484" s="143"/>
      <c r="Q484" s="143"/>
      <c r="R484" s="143"/>
      <c r="S484" s="143"/>
      <c r="T484" s="143"/>
      <c r="U484" s="143"/>
      <c r="V484" s="143"/>
      <c r="W484" s="143"/>
      <c r="X484" s="143"/>
      <c r="Y484" s="143"/>
      <c r="Z484" s="143"/>
    </row>
    <row r="485" spans="1:26" ht="24.75">
      <c r="A485" s="143"/>
      <c r="B485" s="140"/>
      <c r="C485" s="141"/>
      <c r="D485" s="153"/>
      <c r="E485" s="142"/>
      <c r="F485" s="143"/>
      <c r="G485" s="152"/>
      <c r="H485" s="152"/>
      <c r="I485" s="143"/>
      <c r="J485" s="143"/>
      <c r="K485" s="143"/>
      <c r="L485" s="143"/>
      <c r="M485" s="143"/>
      <c r="N485" s="143"/>
      <c r="O485" s="143"/>
      <c r="P485" s="143"/>
      <c r="Q485" s="143"/>
      <c r="R485" s="143"/>
      <c r="S485" s="143"/>
      <c r="T485" s="143"/>
      <c r="U485" s="143"/>
      <c r="V485" s="143"/>
      <c r="W485" s="143"/>
      <c r="X485" s="143"/>
      <c r="Y485" s="143"/>
      <c r="Z485" s="143"/>
    </row>
    <row r="486" spans="1:26" ht="24.75">
      <c r="A486" s="143"/>
      <c r="B486" s="140"/>
      <c r="C486" s="141"/>
      <c r="D486" s="153"/>
      <c r="E486" s="142"/>
      <c r="F486" s="143"/>
      <c r="G486" s="150"/>
      <c r="H486" s="150"/>
      <c r="I486" s="143"/>
      <c r="J486" s="143"/>
      <c r="K486" s="143"/>
      <c r="L486" s="143"/>
      <c r="M486" s="143"/>
      <c r="N486" s="143"/>
      <c r="O486" s="143"/>
      <c r="P486" s="143"/>
      <c r="Q486" s="143"/>
      <c r="R486" s="143"/>
      <c r="S486" s="143"/>
      <c r="T486" s="143"/>
      <c r="U486" s="143"/>
      <c r="V486" s="143"/>
      <c r="W486" s="143"/>
      <c r="X486" s="143"/>
      <c r="Y486" s="143"/>
      <c r="Z486" s="143"/>
    </row>
    <row r="487" spans="1:26" ht="24.75">
      <c r="A487" s="143"/>
      <c r="B487" s="140"/>
      <c r="C487" s="141"/>
      <c r="D487" s="153"/>
      <c r="E487" s="142"/>
      <c r="F487" s="143"/>
      <c r="G487" s="152"/>
      <c r="H487" s="152"/>
      <c r="I487" s="143"/>
      <c r="J487" s="143"/>
      <c r="K487" s="143"/>
      <c r="L487" s="143"/>
      <c r="M487" s="143"/>
      <c r="N487" s="143"/>
      <c r="O487" s="143"/>
      <c r="P487" s="143"/>
      <c r="Q487" s="143"/>
      <c r="R487" s="143"/>
      <c r="S487" s="143"/>
      <c r="T487" s="143"/>
      <c r="U487" s="143"/>
      <c r="V487" s="143"/>
      <c r="W487" s="143"/>
      <c r="X487" s="143"/>
      <c r="Y487" s="143"/>
      <c r="Z487" s="143"/>
    </row>
    <row r="488" spans="1:26" ht="24.75">
      <c r="A488" s="143"/>
      <c r="B488" s="140"/>
      <c r="C488" s="141"/>
      <c r="D488" s="153"/>
      <c r="E488" s="142"/>
      <c r="F488" s="143"/>
      <c r="G488" s="150"/>
      <c r="H488" s="150"/>
      <c r="I488" s="143"/>
      <c r="J488" s="143"/>
      <c r="K488" s="143"/>
      <c r="L488" s="143"/>
      <c r="M488" s="143"/>
      <c r="N488" s="143"/>
      <c r="O488" s="143"/>
      <c r="P488" s="143"/>
      <c r="Q488" s="143"/>
      <c r="R488" s="143"/>
      <c r="S488" s="143"/>
      <c r="T488" s="143"/>
      <c r="U488" s="143"/>
      <c r="V488" s="143"/>
      <c r="W488" s="143"/>
      <c r="X488" s="143"/>
      <c r="Y488" s="143"/>
      <c r="Z488" s="143"/>
    </row>
    <row r="489" spans="1:26" ht="24.75">
      <c r="A489" s="143"/>
      <c r="B489" s="140"/>
      <c r="C489" s="141"/>
      <c r="D489" s="153"/>
      <c r="E489" s="142"/>
      <c r="F489" s="143"/>
      <c r="G489" s="152"/>
      <c r="H489" s="152"/>
      <c r="I489" s="143"/>
      <c r="J489" s="143"/>
      <c r="K489" s="143"/>
      <c r="L489" s="143"/>
      <c r="M489" s="143"/>
      <c r="N489" s="143"/>
      <c r="O489" s="143"/>
      <c r="P489" s="143"/>
      <c r="Q489" s="143"/>
      <c r="R489" s="143"/>
      <c r="S489" s="143"/>
      <c r="T489" s="143"/>
      <c r="U489" s="143"/>
      <c r="V489" s="143"/>
      <c r="W489" s="143"/>
      <c r="X489" s="143"/>
      <c r="Y489" s="143"/>
      <c r="Z489" s="143"/>
    </row>
    <row r="490" spans="1:26" ht="24.75">
      <c r="A490" s="143"/>
      <c r="B490" s="140"/>
      <c r="C490" s="141"/>
      <c r="D490" s="153"/>
      <c r="E490" s="142"/>
      <c r="F490" s="143"/>
      <c r="G490" s="150"/>
      <c r="H490" s="150"/>
      <c r="I490" s="143"/>
      <c r="J490" s="143"/>
      <c r="K490" s="143"/>
      <c r="L490" s="143"/>
      <c r="M490" s="143"/>
      <c r="N490" s="143"/>
      <c r="O490" s="143"/>
      <c r="P490" s="143"/>
      <c r="Q490" s="143"/>
      <c r="R490" s="143"/>
      <c r="S490" s="143"/>
      <c r="T490" s="143"/>
      <c r="U490" s="143"/>
      <c r="V490" s="143"/>
      <c r="W490" s="143"/>
      <c r="X490" s="143"/>
      <c r="Y490" s="143"/>
      <c r="Z490" s="143"/>
    </row>
    <row r="491" spans="1:26" ht="24.75">
      <c r="A491" s="143"/>
      <c r="B491" s="140"/>
      <c r="C491" s="141"/>
      <c r="D491" s="153"/>
      <c r="E491" s="142"/>
      <c r="F491" s="143"/>
      <c r="G491" s="152"/>
      <c r="H491" s="152"/>
      <c r="I491" s="143"/>
      <c r="J491" s="143"/>
      <c r="K491" s="143"/>
      <c r="L491" s="143"/>
      <c r="M491" s="143"/>
      <c r="N491" s="143"/>
      <c r="O491" s="143"/>
      <c r="P491" s="143"/>
      <c r="Q491" s="143"/>
      <c r="R491" s="143"/>
      <c r="S491" s="143"/>
      <c r="T491" s="143"/>
      <c r="U491" s="143"/>
      <c r="V491" s="143"/>
      <c r="W491" s="143"/>
      <c r="X491" s="143"/>
      <c r="Y491" s="143"/>
      <c r="Z491" s="143"/>
    </row>
    <row r="492" spans="1:26" ht="24.75">
      <c r="A492" s="143"/>
      <c r="B492" s="140"/>
      <c r="C492" s="141"/>
      <c r="D492" s="153"/>
      <c r="E492" s="142"/>
      <c r="F492" s="143"/>
      <c r="G492" s="150"/>
      <c r="H492" s="150"/>
      <c r="I492" s="143"/>
      <c r="J492" s="143"/>
      <c r="K492" s="143"/>
      <c r="L492" s="143"/>
      <c r="M492" s="143"/>
      <c r="N492" s="143"/>
      <c r="O492" s="143"/>
      <c r="P492" s="143"/>
      <c r="Q492" s="143"/>
      <c r="R492" s="143"/>
      <c r="S492" s="143"/>
      <c r="T492" s="143"/>
      <c r="U492" s="143"/>
      <c r="V492" s="143"/>
      <c r="W492" s="143"/>
      <c r="X492" s="143"/>
      <c r="Y492" s="143"/>
      <c r="Z492" s="143"/>
    </row>
    <row r="493" spans="1:26" ht="24.75">
      <c r="A493" s="143"/>
      <c r="B493" s="140"/>
      <c r="C493" s="141"/>
      <c r="D493" s="153"/>
      <c r="E493" s="142"/>
      <c r="F493" s="143"/>
      <c r="G493" s="152"/>
      <c r="H493" s="152"/>
      <c r="I493" s="143"/>
      <c r="J493" s="143"/>
      <c r="K493" s="143"/>
      <c r="L493" s="143"/>
      <c r="M493" s="143"/>
      <c r="N493" s="143"/>
      <c r="O493" s="143"/>
      <c r="P493" s="143"/>
      <c r="Q493" s="143"/>
      <c r="R493" s="143"/>
      <c r="S493" s="143"/>
      <c r="T493" s="143"/>
      <c r="U493" s="143"/>
      <c r="V493" s="143"/>
      <c r="W493" s="143"/>
      <c r="X493" s="143"/>
      <c r="Y493" s="143"/>
      <c r="Z493" s="143"/>
    </row>
    <row r="494" spans="1:26" ht="24.75">
      <c r="A494" s="143"/>
      <c r="B494" s="140"/>
      <c r="C494" s="141"/>
      <c r="D494" s="153"/>
      <c r="E494" s="142"/>
      <c r="F494" s="143"/>
      <c r="G494" s="150"/>
      <c r="H494" s="150"/>
      <c r="I494" s="143"/>
      <c r="J494" s="143"/>
      <c r="K494" s="143"/>
      <c r="L494" s="143"/>
      <c r="M494" s="143"/>
      <c r="N494" s="143"/>
      <c r="O494" s="143"/>
      <c r="P494" s="143"/>
      <c r="Q494" s="143"/>
      <c r="R494" s="143"/>
      <c r="S494" s="143"/>
      <c r="T494" s="143"/>
      <c r="U494" s="143"/>
      <c r="V494" s="143"/>
      <c r="W494" s="143"/>
      <c r="X494" s="143"/>
      <c r="Y494" s="143"/>
      <c r="Z494" s="143"/>
    </row>
    <row r="495" spans="1:26" ht="24.75">
      <c r="A495" s="143"/>
      <c r="B495" s="140"/>
      <c r="C495" s="141"/>
      <c r="D495" s="153"/>
      <c r="E495" s="142"/>
      <c r="F495" s="143"/>
      <c r="G495" s="152"/>
      <c r="H495" s="152"/>
      <c r="I495" s="143"/>
      <c r="J495" s="143"/>
      <c r="K495" s="143"/>
      <c r="L495" s="143"/>
      <c r="M495" s="143"/>
      <c r="N495" s="143"/>
      <c r="O495" s="143"/>
      <c r="P495" s="143"/>
      <c r="Q495" s="143"/>
      <c r="R495" s="143"/>
      <c r="S495" s="143"/>
      <c r="T495" s="143"/>
      <c r="U495" s="143"/>
      <c r="V495" s="143"/>
      <c r="W495" s="143"/>
      <c r="X495" s="143"/>
      <c r="Y495" s="143"/>
      <c r="Z495" s="143"/>
    </row>
    <row r="496" spans="1:26" ht="24.75">
      <c r="A496" s="143"/>
      <c r="B496" s="140"/>
      <c r="C496" s="141"/>
      <c r="D496" s="153"/>
      <c r="E496" s="142"/>
      <c r="F496" s="143"/>
      <c r="G496" s="150"/>
      <c r="H496" s="150"/>
      <c r="I496" s="143"/>
      <c r="J496" s="143"/>
      <c r="K496" s="143"/>
      <c r="L496" s="143"/>
      <c r="M496" s="143"/>
      <c r="N496" s="143"/>
      <c r="O496" s="143"/>
      <c r="P496" s="143"/>
      <c r="Q496" s="143"/>
      <c r="R496" s="143"/>
      <c r="S496" s="143"/>
      <c r="T496" s="143"/>
      <c r="U496" s="143"/>
      <c r="V496" s="143"/>
      <c r="W496" s="143"/>
      <c r="X496" s="143"/>
      <c r="Y496" s="143"/>
      <c r="Z496" s="143"/>
    </row>
    <row r="497" spans="1:26" ht="24.75">
      <c r="A497" s="143"/>
      <c r="B497" s="140"/>
      <c r="C497" s="141"/>
      <c r="D497" s="153"/>
      <c r="E497" s="142"/>
      <c r="F497" s="143"/>
      <c r="G497" s="152"/>
      <c r="H497" s="152"/>
      <c r="I497" s="143"/>
      <c r="J497" s="143"/>
      <c r="K497" s="143"/>
      <c r="L497" s="143"/>
      <c r="M497" s="143"/>
      <c r="N497" s="143"/>
      <c r="O497" s="143"/>
      <c r="P497" s="143"/>
      <c r="Q497" s="143"/>
      <c r="R497" s="143"/>
      <c r="S497" s="143"/>
      <c r="T497" s="143"/>
      <c r="U497" s="143"/>
      <c r="V497" s="143"/>
      <c r="W497" s="143"/>
      <c r="X497" s="143"/>
      <c r="Y497" s="143"/>
      <c r="Z497" s="143"/>
    </row>
    <row r="498" spans="1:26" ht="24.75">
      <c r="A498" s="143"/>
      <c r="B498" s="140"/>
      <c r="C498" s="141"/>
      <c r="D498" s="153"/>
      <c r="E498" s="142"/>
      <c r="F498" s="143"/>
      <c r="G498" s="150"/>
      <c r="H498" s="150"/>
      <c r="I498" s="143"/>
      <c r="J498" s="143"/>
      <c r="K498" s="143"/>
      <c r="L498" s="143"/>
      <c r="M498" s="143"/>
      <c r="N498" s="143"/>
      <c r="O498" s="143"/>
      <c r="P498" s="143"/>
      <c r="Q498" s="143"/>
      <c r="R498" s="143"/>
      <c r="S498" s="143"/>
      <c r="T498" s="143"/>
      <c r="U498" s="143"/>
      <c r="V498" s="143"/>
      <c r="W498" s="143"/>
      <c r="X498" s="143"/>
      <c r="Y498" s="143"/>
      <c r="Z498" s="143"/>
    </row>
    <row r="499" spans="1:26" ht="24.75">
      <c r="A499" s="143"/>
      <c r="B499" s="140"/>
      <c r="C499" s="141"/>
      <c r="D499" s="153"/>
      <c r="E499" s="142"/>
      <c r="F499" s="143"/>
      <c r="G499" s="152"/>
      <c r="H499" s="152"/>
      <c r="I499" s="143"/>
      <c r="J499" s="143"/>
      <c r="K499" s="143"/>
      <c r="L499" s="143"/>
      <c r="M499" s="143"/>
      <c r="N499" s="143"/>
      <c r="O499" s="143"/>
      <c r="P499" s="143"/>
      <c r="Q499" s="143"/>
      <c r="R499" s="143"/>
      <c r="S499" s="143"/>
      <c r="T499" s="143"/>
      <c r="U499" s="143"/>
      <c r="V499" s="143"/>
      <c r="W499" s="143"/>
      <c r="X499" s="143"/>
      <c r="Y499" s="143"/>
      <c r="Z499" s="143"/>
    </row>
    <row r="500" spans="1:26" ht="24.75">
      <c r="A500" s="143"/>
      <c r="B500" s="140"/>
      <c r="C500" s="141"/>
      <c r="D500" s="153"/>
      <c r="E500" s="142"/>
      <c r="F500" s="143"/>
      <c r="G500" s="150"/>
      <c r="H500" s="150"/>
      <c r="I500" s="143"/>
      <c r="J500" s="143"/>
      <c r="K500" s="143"/>
      <c r="L500" s="143"/>
      <c r="M500" s="143"/>
      <c r="N500" s="143"/>
      <c r="O500" s="143"/>
      <c r="P500" s="143"/>
      <c r="Q500" s="143"/>
      <c r="R500" s="143"/>
      <c r="S500" s="143"/>
      <c r="T500" s="143"/>
      <c r="U500" s="143"/>
      <c r="V500" s="143"/>
      <c r="W500" s="143"/>
      <c r="X500" s="143"/>
      <c r="Y500" s="143"/>
      <c r="Z500" s="143"/>
    </row>
    <row r="501" spans="1:26" ht="24.75">
      <c r="A501" s="143"/>
      <c r="B501" s="140"/>
      <c r="C501" s="141"/>
      <c r="D501" s="153"/>
      <c r="E501" s="142"/>
      <c r="F501" s="143"/>
      <c r="G501" s="152"/>
      <c r="H501" s="152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  <c r="W501" s="143"/>
      <c r="X501" s="143"/>
      <c r="Y501" s="143"/>
      <c r="Z501" s="143"/>
    </row>
    <row r="502" spans="1:26" ht="24.75">
      <c r="A502" s="143"/>
      <c r="B502" s="140"/>
      <c r="C502" s="141"/>
      <c r="D502" s="153"/>
      <c r="E502" s="142"/>
      <c r="F502" s="143"/>
      <c r="G502" s="150"/>
      <c r="H502" s="150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  <c r="W502" s="143"/>
      <c r="X502" s="143"/>
      <c r="Y502" s="143"/>
      <c r="Z502" s="143"/>
    </row>
    <row r="503" spans="1:26" ht="24.75">
      <c r="A503" s="143"/>
      <c r="B503" s="140"/>
      <c r="C503" s="141"/>
      <c r="D503" s="153"/>
      <c r="E503" s="142"/>
      <c r="F503" s="143"/>
      <c r="G503" s="152"/>
      <c r="H503" s="152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  <c r="W503" s="143"/>
      <c r="X503" s="143"/>
      <c r="Y503" s="143"/>
      <c r="Z503" s="143"/>
    </row>
    <row r="504" spans="1:26" ht="24.75">
      <c r="A504" s="143"/>
      <c r="B504" s="140"/>
      <c r="C504" s="141"/>
      <c r="D504" s="153"/>
      <c r="E504" s="142"/>
      <c r="F504" s="143"/>
      <c r="G504" s="150"/>
      <c r="H504" s="150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  <c r="W504" s="143"/>
      <c r="X504" s="143"/>
      <c r="Y504" s="143"/>
      <c r="Z504" s="143"/>
    </row>
    <row r="505" spans="1:26" ht="24.75">
      <c r="A505" s="143"/>
      <c r="B505" s="140"/>
      <c r="C505" s="141"/>
      <c r="D505" s="153"/>
      <c r="E505" s="142"/>
      <c r="F505" s="143"/>
      <c r="G505" s="152"/>
      <c r="H505" s="152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  <c r="W505" s="143"/>
      <c r="X505" s="143"/>
      <c r="Y505" s="143"/>
      <c r="Z505" s="143"/>
    </row>
    <row r="506" spans="1:26" ht="24.75">
      <c r="A506" s="143"/>
      <c r="B506" s="140"/>
      <c r="C506" s="141"/>
      <c r="D506" s="153"/>
      <c r="E506" s="142"/>
      <c r="F506" s="143"/>
      <c r="G506" s="150"/>
      <c r="H506" s="150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  <c r="W506" s="143"/>
      <c r="X506" s="143"/>
      <c r="Y506" s="143"/>
      <c r="Z506" s="143"/>
    </row>
    <row r="507" spans="1:26" ht="24.75">
      <c r="A507" s="143"/>
      <c r="B507" s="140"/>
      <c r="C507" s="141"/>
      <c r="D507" s="153"/>
      <c r="E507" s="142"/>
      <c r="F507" s="143"/>
      <c r="G507" s="152"/>
      <c r="H507" s="152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  <c r="W507" s="143"/>
      <c r="X507" s="143"/>
      <c r="Y507" s="143"/>
      <c r="Z507" s="143"/>
    </row>
    <row r="508" spans="1:26" ht="24.75">
      <c r="A508" s="143"/>
      <c r="B508" s="140"/>
      <c r="C508" s="141"/>
      <c r="D508" s="153"/>
      <c r="E508" s="142"/>
      <c r="F508" s="143"/>
      <c r="G508" s="150"/>
      <c r="H508" s="150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  <c r="W508" s="143"/>
      <c r="X508" s="143"/>
      <c r="Y508" s="143"/>
      <c r="Z508" s="143"/>
    </row>
    <row r="509" spans="1:26" ht="24.75">
      <c r="A509" s="143"/>
      <c r="B509" s="140"/>
      <c r="C509" s="141"/>
      <c r="D509" s="153"/>
      <c r="E509" s="142"/>
      <c r="F509" s="143"/>
      <c r="G509" s="152"/>
      <c r="H509" s="152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  <c r="W509" s="143"/>
      <c r="X509" s="143"/>
      <c r="Y509" s="143"/>
      <c r="Z509" s="143"/>
    </row>
    <row r="510" spans="1:26" ht="24.75">
      <c r="A510" s="143"/>
      <c r="B510" s="140"/>
      <c r="C510" s="141"/>
      <c r="D510" s="153"/>
      <c r="E510" s="142"/>
      <c r="F510" s="143"/>
      <c r="G510" s="150"/>
      <c r="H510" s="150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  <c r="W510" s="143"/>
      <c r="X510" s="143"/>
      <c r="Y510" s="143"/>
      <c r="Z510" s="143"/>
    </row>
    <row r="511" spans="1:26" ht="24.75">
      <c r="A511" s="143"/>
      <c r="B511" s="140"/>
      <c r="C511" s="141"/>
      <c r="D511" s="153"/>
      <c r="E511" s="142"/>
      <c r="F511" s="143"/>
      <c r="G511" s="152"/>
      <c r="H511" s="152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  <c r="W511" s="143"/>
      <c r="X511" s="143"/>
      <c r="Y511" s="143"/>
      <c r="Z511" s="143"/>
    </row>
    <row r="512" spans="1:26" ht="24.75">
      <c r="A512" s="143"/>
      <c r="B512" s="140"/>
      <c r="C512" s="141"/>
      <c r="D512" s="153"/>
      <c r="E512" s="142"/>
      <c r="F512" s="143"/>
      <c r="G512" s="150"/>
      <c r="H512" s="150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  <c r="W512" s="143"/>
      <c r="X512" s="143"/>
      <c r="Y512" s="143"/>
      <c r="Z512" s="143"/>
    </row>
    <row r="513" spans="1:26" ht="24.75">
      <c r="A513" s="143"/>
      <c r="B513" s="140"/>
      <c r="C513" s="141"/>
      <c r="D513" s="153"/>
      <c r="E513" s="142"/>
      <c r="F513" s="143"/>
      <c r="G513" s="152"/>
      <c r="H513" s="152"/>
      <c r="I513" s="143"/>
      <c r="J513" s="143"/>
      <c r="K513" s="143"/>
      <c r="L513" s="143"/>
      <c r="M513" s="143"/>
      <c r="N513" s="143"/>
      <c r="O513" s="143"/>
      <c r="P513" s="143"/>
      <c r="Q513" s="143"/>
      <c r="R513" s="143"/>
      <c r="S513" s="143"/>
      <c r="T513" s="143"/>
      <c r="U513" s="143"/>
      <c r="V513" s="143"/>
      <c r="W513" s="143"/>
      <c r="X513" s="143"/>
      <c r="Y513" s="143"/>
      <c r="Z513" s="143"/>
    </row>
    <row r="514" spans="1:26" ht="24.75">
      <c r="A514" s="143"/>
      <c r="B514" s="140"/>
      <c r="C514" s="141"/>
      <c r="D514" s="153"/>
      <c r="E514" s="142"/>
      <c r="F514" s="143"/>
      <c r="G514" s="150"/>
      <c r="H514" s="150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  <c r="W514" s="143"/>
      <c r="X514" s="143"/>
      <c r="Y514" s="143"/>
      <c r="Z514" s="143"/>
    </row>
    <row r="515" spans="1:26" ht="24.75">
      <c r="A515" s="143"/>
      <c r="B515" s="140"/>
      <c r="C515" s="141"/>
      <c r="D515" s="153"/>
      <c r="E515" s="142"/>
      <c r="F515" s="143"/>
      <c r="G515" s="152"/>
      <c r="H515" s="152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  <c r="W515" s="143"/>
      <c r="X515" s="143"/>
      <c r="Y515" s="143"/>
      <c r="Z515" s="143"/>
    </row>
    <row r="516" spans="1:26" ht="24.75">
      <c r="A516" s="143"/>
      <c r="B516" s="140"/>
      <c r="C516" s="141"/>
      <c r="D516" s="153"/>
      <c r="E516" s="142"/>
      <c r="F516" s="143"/>
      <c r="G516" s="150"/>
      <c r="H516" s="150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  <c r="W516" s="143"/>
      <c r="X516" s="143"/>
      <c r="Y516" s="143"/>
      <c r="Z516" s="143"/>
    </row>
    <row r="517" spans="1:26" ht="24.75">
      <c r="A517" s="143"/>
      <c r="B517" s="140"/>
      <c r="C517" s="141"/>
      <c r="D517" s="153"/>
      <c r="E517" s="142"/>
      <c r="F517" s="143"/>
      <c r="G517" s="152"/>
      <c r="H517" s="152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  <c r="W517" s="143"/>
      <c r="X517" s="143"/>
      <c r="Y517" s="143"/>
      <c r="Z517" s="143"/>
    </row>
    <row r="518" spans="1:26" ht="24.75">
      <c r="A518" s="143"/>
      <c r="B518" s="140"/>
      <c r="C518" s="141"/>
      <c r="D518" s="153"/>
      <c r="E518" s="142"/>
      <c r="F518" s="143"/>
      <c r="G518" s="150"/>
      <c r="H518" s="150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  <c r="W518" s="143"/>
      <c r="X518" s="143"/>
      <c r="Y518" s="143"/>
      <c r="Z518" s="143"/>
    </row>
    <row r="519" spans="1:26" ht="24.75">
      <c r="A519" s="143"/>
      <c r="B519" s="140"/>
      <c r="C519" s="141"/>
      <c r="D519" s="153"/>
      <c r="E519" s="142"/>
      <c r="F519" s="143"/>
      <c r="G519" s="152"/>
      <c r="H519" s="152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  <c r="W519" s="143"/>
      <c r="X519" s="143"/>
      <c r="Y519" s="143"/>
      <c r="Z519" s="143"/>
    </row>
    <row r="520" spans="1:26" ht="24.75">
      <c r="A520" s="143"/>
      <c r="B520" s="140"/>
      <c r="C520" s="141"/>
      <c r="D520" s="153"/>
      <c r="E520" s="142"/>
      <c r="F520" s="143"/>
      <c r="G520" s="150"/>
      <c r="H520" s="150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  <c r="W520" s="143"/>
      <c r="X520" s="143"/>
      <c r="Y520" s="143"/>
      <c r="Z520" s="143"/>
    </row>
    <row r="521" spans="1:26" ht="24.75">
      <c r="A521" s="143"/>
      <c r="B521" s="140"/>
      <c r="C521" s="141"/>
      <c r="D521" s="153"/>
      <c r="E521" s="142"/>
      <c r="F521" s="143"/>
      <c r="G521" s="152"/>
      <c r="H521" s="152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  <c r="W521" s="143"/>
      <c r="X521" s="143"/>
      <c r="Y521" s="143"/>
      <c r="Z521" s="143"/>
    </row>
    <row r="522" spans="1:26" ht="24.75">
      <c r="A522" s="143"/>
      <c r="B522" s="140"/>
      <c r="C522" s="141"/>
      <c r="D522" s="153"/>
      <c r="E522" s="142"/>
      <c r="F522" s="143"/>
      <c r="G522" s="150"/>
      <c r="H522" s="150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  <c r="W522" s="143"/>
      <c r="X522" s="143"/>
      <c r="Y522" s="143"/>
      <c r="Z522" s="143"/>
    </row>
    <row r="523" spans="1:26" ht="24.75">
      <c r="A523" s="143"/>
      <c r="B523" s="140"/>
      <c r="C523" s="141"/>
      <c r="D523" s="153"/>
      <c r="E523" s="142"/>
      <c r="F523" s="143"/>
      <c r="G523" s="152"/>
      <c r="H523" s="152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  <c r="W523" s="143"/>
      <c r="X523" s="143"/>
      <c r="Y523" s="143"/>
      <c r="Z523" s="143"/>
    </row>
    <row r="524" spans="1:26" ht="24.75">
      <c r="A524" s="143"/>
      <c r="B524" s="140"/>
      <c r="C524" s="141"/>
      <c r="D524" s="153"/>
      <c r="E524" s="142"/>
      <c r="F524" s="143"/>
      <c r="G524" s="150"/>
      <c r="H524" s="150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  <c r="W524" s="143"/>
      <c r="X524" s="143"/>
      <c r="Y524" s="143"/>
      <c r="Z524" s="143"/>
    </row>
    <row r="525" spans="1:26" ht="24.75">
      <c r="A525" s="143"/>
      <c r="B525" s="140"/>
      <c r="C525" s="141"/>
      <c r="D525" s="153"/>
      <c r="E525" s="142"/>
      <c r="F525" s="143"/>
      <c r="G525" s="152"/>
      <c r="H525" s="152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  <c r="W525" s="143"/>
      <c r="X525" s="143"/>
      <c r="Y525" s="143"/>
      <c r="Z525" s="143"/>
    </row>
    <row r="526" spans="1:26" ht="24.75">
      <c r="A526" s="143"/>
      <c r="B526" s="140"/>
      <c r="C526" s="141"/>
      <c r="D526" s="153"/>
      <c r="E526" s="142"/>
      <c r="F526" s="143"/>
      <c r="G526" s="150"/>
      <c r="H526" s="150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  <c r="S526" s="143"/>
      <c r="T526" s="143"/>
      <c r="U526" s="143"/>
      <c r="V526" s="143"/>
      <c r="W526" s="143"/>
      <c r="X526" s="143"/>
      <c r="Y526" s="143"/>
      <c r="Z526" s="143"/>
    </row>
    <row r="527" spans="1:26" ht="24.75">
      <c r="A527" s="143"/>
      <c r="B527" s="140"/>
      <c r="C527" s="141"/>
      <c r="D527" s="153"/>
      <c r="E527" s="142"/>
      <c r="F527" s="143"/>
      <c r="G527" s="152"/>
      <c r="H527" s="152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  <c r="Z527" s="143"/>
    </row>
    <row r="528" spans="1:26" ht="24.75">
      <c r="A528" s="143"/>
      <c r="B528" s="140"/>
      <c r="C528" s="141"/>
      <c r="D528" s="153"/>
      <c r="E528" s="142"/>
      <c r="F528" s="143"/>
      <c r="G528" s="150"/>
      <c r="H528" s="150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  <c r="Z528" s="143"/>
    </row>
    <row r="529" spans="1:26" ht="24.75">
      <c r="A529" s="143"/>
      <c r="B529" s="140"/>
      <c r="C529" s="141"/>
      <c r="D529" s="153"/>
      <c r="E529" s="142"/>
      <c r="F529" s="143"/>
      <c r="G529" s="152"/>
      <c r="H529" s="152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  <c r="Z529" s="143"/>
    </row>
    <row r="530" spans="1:26" ht="24.75">
      <c r="A530" s="143"/>
      <c r="B530" s="140"/>
      <c r="C530" s="141"/>
      <c r="D530" s="153"/>
      <c r="E530" s="142"/>
      <c r="F530" s="143"/>
      <c r="G530" s="150"/>
      <c r="H530" s="150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  <c r="Z530" s="143"/>
    </row>
    <row r="531" spans="1:26" ht="24.75">
      <c r="A531" s="143"/>
      <c r="B531" s="140"/>
      <c r="C531" s="141"/>
      <c r="D531" s="153"/>
      <c r="E531" s="142"/>
      <c r="F531" s="143"/>
      <c r="G531" s="152"/>
      <c r="H531" s="152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  <c r="Z531" s="143"/>
    </row>
    <row r="532" spans="1:26" ht="24.75">
      <c r="A532" s="143"/>
      <c r="B532" s="140"/>
      <c r="C532" s="141"/>
      <c r="D532" s="153"/>
      <c r="E532" s="142"/>
      <c r="F532" s="143"/>
      <c r="G532" s="150"/>
      <c r="H532" s="150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  <c r="Z532" s="143"/>
    </row>
    <row r="533" spans="1:26" ht="24.75">
      <c r="A533" s="143"/>
      <c r="B533" s="140"/>
      <c r="C533" s="141"/>
      <c r="D533" s="153"/>
      <c r="E533" s="142"/>
      <c r="F533" s="143"/>
      <c r="G533" s="152"/>
      <c r="H533" s="152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  <c r="Z533" s="143"/>
    </row>
    <row r="534" spans="1:26" ht="24.75">
      <c r="A534" s="143"/>
      <c r="B534" s="140"/>
      <c r="C534" s="141"/>
      <c r="D534" s="153"/>
      <c r="E534" s="142"/>
      <c r="F534" s="143"/>
      <c r="G534" s="150"/>
      <c r="H534" s="150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  <c r="Z534" s="143"/>
    </row>
    <row r="535" spans="1:26" ht="24.75">
      <c r="A535" s="143"/>
      <c r="B535" s="140"/>
      <c r="C535" s="141"/>
      <c r="D535" s="153"/>
      <c r="E535" s="142"/>
      <c r="F535" s="143"/>
      <c r="G535" s="152"/>
      <c r="H535" s="152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  <c r="Z535" s="143"/>
    </row>
    <row r="536" spans="1:26" ht="24.75">
      <c r="A536" s="143"/>
      <c r="B536" s="140"/>
      <c r="C536" s="141"/>
      <c r="D536" s="153"/>
      <c r="E536" s="142"/>
      <c r="F536" s="143"/>
      <c r="G536" s="150"/>
      <c r="H536" s="150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  <c r="Z536" s="143"/>
    </row>
    <row r="537" spans="1:26" ht="24.75">
      <c r="A537" s="143"/>
      <c r="B537" s="140"/>
      <c r="C537" s="141"/>
      <c r="D537" s="153"/>
      <c r="E537" s="142"/>
      <c r="F537" s="143"/>
      <c r="G537" s="152"/>
      <c r="H537" s="152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  <c r="Z537" s="143"/>
    </row>
    <row r="538" spans="1:26" ht="24.75">
      <c r="A538" s="143"/>
      <c r="B538" s="140"/>
      <c r="C538" s="141"/>
      <c r="D538" s="153"/>
      <c r="E538" s="142"/>
      <c r="F538" s="143"/>
      <c r="G538" s="150"/>
      <c r="H538" s="150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  <c r="Z538" s="143"/>
    </row>
    <row r="539" spans="1:26" ht="24.75">
      <c r="A539" s="143"/>
      <c r="B539" s="140"/>
      <c r="C539" s="141"/>
      <c r="D539" s="153"/>
      <c r="E539" s="142"/>
      <c r="F539" s="143"/>
      <c r="G539" s="152"/>
      <c r="H539" s="152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  <c r="Z539" s="143"/>
    </row>
    <row r="540" spans="1:26" ht="24.75">
      <c r="A540" s="143"/>
      <c r="B540" s="140"/>
      <c r="C540" s="141"/>
      <c r="D540" s="153"/>
      <c r="E540" s="142"/>
      <c r="F540" s="143"/>
      <c r="G540" s="150"/>
      <c r="H540" s="150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  <c r="Z540" s="143"/>
    </row>
    <row r="541" spans="1:26" ht="24.75">
      <c r="A541" s="143"/>
      <c r="B541" s="140"/>
      <c r="C541" s="141"/>
      <c r="D541" s="153"/>
      <c r="E541" s="142"/>
      <c r="F541" s="143"/>
      <c r="G541" s="152"/>
      <c r="H541" s="152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  <c r="Z541" s="143"/>
    </row>
    <row r="542" spans="1:26" ht="24.75">
      <c r="A542" s="143"/>
      <c r="B542" s="140"/>
      <c r="C542" s="141"/>
      <c r="D542" s="153"/>
      <c r="E542" s="142"/>
      <c r="F542" s="143"/>
      <c r="G542" s="150"/>
      <c r="H542" s="150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  <c r="Z542" s="143"/>
    </row>
    <row r="543" spans="1:26" ht="24.75">
      <c r="A543" s="143"/>
      <c r="B543" s="140"/>
      <c r="C543" s="141"/>
      <c r="D543" s="153"/>
      <c r="E543" s="142"/>
      <c r="F543" s="143"/>
      <c r="G543" s="152"/>
      <c r="H543" s="152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  <c r="Z543" s="143"/>
    </row>
    <row r="544" spans="1:26" ht="24.75">
      <c r="A544" s="143"/>
      <c r="B544" s="140"/>
      <c r="C544" s="141"/>
      <c r="D544" s="153"/>
      <c r="E544" s="142"/>
      <c r="F544" s="143"/>
      <c r="G544" s="150"/>
      <c r="H544" s="150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  <c r="Z544" s="143"/>
    </row>
    <row r="545" spans="1:26" ht="24.75">
      <c r="A545" s="143"/>
      <c r="B545" s="140"/>
      <c r="C545" s="141"/>
      <c r="D545" s="153"/>
      <c r="E545" s="142"/>
      <c r="F545" s="143"/>
      <c r="G545" s="152"/>
      <c r="H545" s="152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  <c r="Z545" s="143"/>
    </row>
    <row r="546" spans="1:26" ht="24.75">
      <c r="A546" s="143"/>
      <c r="B546" s="140"/>
      <c r="C546" s="141"/>
      <c r="D546" s="153"/>
      <c r="E546" s="142"/>
      <c r="F546" s="143"/>
      <c r="G546" s="150"/>
      <c r="H546" s="150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</row>
    <row r="547" spans="1:26" ht="24.75">
      <c r="A547" s="143"/>
      <c r="B547" s="140"/>
      <c r="C547" s="141"/>
      <c r="D547" s="153"/>
      <c r="E547" s="142"/>
      <c r="F547" s="143"/>
      <c r="G547" s="152"/>
      <c r="H547" s="152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</row>
    <row r="548" spans="1:26" ht="24.75">
      <c r="A548" s="143"/>
      <c r="B548" s="140"/>
      <c r="C548" s="141"/>
      <c r="D548" s="153"/>
      <c r="E548" s="142"/>
      <c r="F548" s="143"/>
      <c r="G548" s="150"/>
      <c r="H548" s="150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</row>
    <row r="549" spans="1:26" ht="24.75">
      <c r="A549" s="143"/>
      <c r="B549" s="140"/>
      <c r="C549" s="141"/>
      <c r="D549" s="153"/>
      <c r="E549" s="142"/>
      <c r="F549" s="143"/>
      <c r="G549" s="152"/>
      <c r="H549" s="152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</row>
    <row r="550" spans="1:26" ht="24.75">
      <c r="A550" s="143"/>
      <c r="B550" s="140"/>
      <c r="C550" s="141"/>
      <c r="D550" s="153"/>
      <c r="E550" s="142"/>
      <c r="F550" s="143"/>
      <c r="G550" s="150"/>
      <c r="H550" s="150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</row>
    <row r="551" spans="1:26" ht="24.75">
      <c r="A551" s="143"/>
      <c r="B551" s="140"/>
      <c r="C551" s="141"/>
      <c r="D551" s="153"/>
      <c r="E551" s="142"/>
      <c r="F551" s="143"/>
      <c r="G551" s="152"/>
      <c r="H551" s="152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</row>
    <row r="552" spans="1:26" ht="24.75">
      <c r="A552" s="143"/>
      <c r="B552" s="140"/>
      <c r="C552" s="141"/>
      <c r="D552" s="153"/>
      <c r="E552" s="142"/>
      <c r="F552" s="143"/>
      <c r="G552" s="150"/>
      <c r="H552" s="150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  <c r="Z552" s="143"/>
    </row>
    <row r="553" spans="1:26" ht="24.75">
      <c r="A553" s="143"/>
      <c r="B553" s="140"/>
      <c r="C553" s="141"/>
      <c r="D553" s="153"/>
      <c r="E553" s="142"/>
      <c r="F553" s="143"/>
      <c r="G553" s="152"/>
      <c r="H553" s="152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</row>
    <row r="554" spans="1:26" ht="24.75">
      <c r="A554" s="143"/>
      <c r="B554" s="140"/>
      <c r="C554" s="141"/>
      <c r="D554" s="153"/>
      <c r="E554" s="142"/>
      <c r="F554" s="143"/>
      <c r="G554" s="150"/>
      <c r="H554" s="150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</row>
    <row r="555" spans="1:26" ht="24.75">
      <c r="A555" s="143"/>
      <c r="B555" s="140"/>
      <c r="C555" s="141"/>
      <c r="D555" s="153"/>
      <c r="E555" s="142"/>
      <c r="F555" s="143"/>
      <c r="G555" s="152"/>
      <c r="H555" s="152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</row>
    <row r="556" spans="1:26" ht="24.75">
      <c r="A556" s="143"/>
      <c r="B556" s="140"/>
      <c r="C556" s="141"/>
      <c r="D556" s="153"/>
      <c r="E556" s="142"/>
      <c r="F556" s="143"/>
      <c r="G556" s="150"/>
      <c r="H556" s="150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</row>
    <row r="557" spans="1:26" ht="24.75">
      <c r="A557" s="143"/>
      <c r="B557" s="140"/>
      <c r="C557" s="141"/>
      <c r="D557" s="153"/>
      <c r="E557" s="142"/>
      <c r="F557" s="143"/>
      <c r="G557" s="152"/>
      <c r="H557" s="152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</row>
    <row r="558" spans="1:26" ht="24.75">
      <c r="A558" s="143"/>
      <c r="B558" s="140"/>
      <c r="C558" s="141"/>
      <c r="D558" s="153"/>
      <c r="E558" s="142"/>
      <c r="F558" s="143"/>
      <c r="G558" s="150"/>
      <c r="H558" s="150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</row>
    <row r="559" spans="1:26" ht="24.75">
      <c r="A559" s="143"/>
      <c r="B559" s="140"/>
      <c r="C559" s="141"/>
      <c r="D559" s="153"/>
      <c r="E559" s="142"/>
      <c r="F559" s="143"/>
      <c r="G559" s="152"/>
      <c r="H559" s="152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</row>
    <row r="560" spans="1:26" ht="24.75">
      <c r="A560" s="143"/>
      <c r="B560" s="140"/>
      <c r="C560" s="141"/>
      <c r="D560" s="153"/>
      <c r="E560" s="142"/>
      <c r="F560" s="143"/>
      <c r="G560" s="150"/>
      <c r="H560" s="150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</row>
    <row r="561" spans="1:26" ht="24.75">
      <c r="A561" s="143"/>
      <c r="B561" s="140"/>
      <c r="C561" s="141"/>
      <c r="D561" s="153"/>
      <c r="E561" s="142"/>
      <c r="F561" s="143"/>
      <c r="G561" s="152"/>
      <c r="H561" s="152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</row>
    <row r="562" spans="1:26" ht="24.75">
      <c r="A562" s="143"/>
      <c r="B562" s="140"/>
      <c r="C562" s="141"/>
      <c r="D562" s="153"/>
      <c r="E562" s="142"/>
      <c r="F562" s="143"/>
      <c r="G562" s="150"/>
      <c r="H562" s="150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</row>
    <row r="563" spans="1:26" ht="24.75">
      <c r="A563" s="143"/>
      <c r="B563" s="140"/>
      <c r="C563" s="141"/>
      <c r="D563" s="153"/>
      <c r="E563" s="142"/>
      <c r="F563" s="143"/>
      <c r="G563" s="152"/>
      <c r="H563" s="152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</row>
    <row r="564" spans="1:26" ht="24.75">
      <c r="A564" s="143"/>
      <c r="B564" s="140"/>
      <c r="C564" s="141"/>
      <c r="D564" s="153"/>
      <c r="E564" s="142"/>
      <c r="F564" s="143"/>
      <c r="G564" s="150"/>
      <c r="H564" s="150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</row>
    <row r="565" spans="1:26" ht="24.75">
      <c r="A565" s="143"/>
      <c r="B565" s="140"/>
      <c r="C565" s="141"/>
      <c r="D565" s="153"/>
      <c r="E565" s="142"/>
      <c r="F565" s="143"/>
      <c r="G565" s="152"/>
      <c r="H565" s="152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  <c r="Z565" s="143"/>
    </row>
    <row r="566" spans="1:26" ht="24.75">
      <c r="A566" s="143"/>
      <c r="B566" s="140"/>
      <c r="C566" s="141"/>
      <c r="D566" s="153"/>
      <c r="E566" s="142"/>
      <c r="F566" s="143"/>
      <c r="G566" s="150"/>
      <c r="H566" s="150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</row>
    <row r="567" spans="1:26" ht="24.75">
      <c r="A567" s="143"/>
      <c r="B567" s="140"/>
      <c r="C567" s="141"/>
      <c r="D567" s="153"/>
      <c r="E567" s="142"/>
      <c r="F567" s="143"/>
      <c r="G567" s="152"/>
      <c r="H567" s="152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</row>
    <row r="568" spans="1:26" ht="24.75">
      <c r="A568" s="143"/>
      <c r="B568" s="140"/>
      <c r="C568" s="141"/>
      <c r="D568" s="153"/>
      <c r="E568" s="142"/>
      <c r="F568" s="143"/>
      <c r="G568" s="150"/>
      <c r="H568" s="150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</row>
    <row r="569" spans="1:26" ht="24.75">
      <c r="A569" s="143"/>
      <c r="B569" s="140"/>
      <c r="C569" s="141"/>
      <c r="D569" s="153"/>
      <c r="E569" s="142"/>
      <c r="F569" s="143"/>
      <c r="G569" s="152"/>
      <c r="H569" s="152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</row>
    <row r="570" spans="1:26" ht="24.75">
      <c r="A570" s="143"/>
      <c r="B570" s="140"/>
      <c r="C570" s="141"/>
      <c r="D570" s="153"/>
      <c r="E570" s="142"/>
      <c r="F570" s="143"/>
      <c r="G570" s="150"/>
      <c r="H570" s="150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</row>
    <row r="571" spans="1:26" ht="24.75">
      <c r="A571" s="143"/>
      <c r="B571" s="140"/>
      <c r="C571" s="141"/>
      <c r="D571" s="153"/>
      <c r="E571" s="142"/>
      <c r="F571" s="143"/>
      <c r="G571" s="152"/>
      <c r="H571" s="152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</row>
    <row r="572" spans="1:26" ht="24.75">
      <c r="A572" s="143"/>
      <c r="B572" s="140"/>
      <c r="C572" s="141"/>
      <c r="D572" s="153"/>
      <c r="E572" s="142"/>
      <c r="F572" s="143"/>
      <c r="G572" s="150"/>
      <c r="H572" s="150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</row>
    <row r="573" spans="1:26" ht="24.75">
      <c r="A573" s="143"/>
      <c r="B573" s="140"/>
      <c r="C573" s="141"/>
      <c r="D573" s="153"/>
      <c r="E573" s="142"/>
      <c r="F573" s="143"/>
      <c r="G573" s="152"/>
      <c r="H573" s="152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</row>
    <row r="574" spans="1:26" ht="24.75">
      <c r="A574" s="143"/>
      <c r="B574" s="140"/>
      <c r="C574" s="141"/>
      <c r="D574" s="153"/>
      <c r="E574" s="142"/>
      <c r="F574" s="143"/>
      <c r="G574" s="150"/>
      <c r="H574" s="150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</row>
    <row r="575" spans="1:26" ht="24.75">
      <c r="A575" s="143"/>
      <c r="B575" s="140"/>
      <c r="C575" s="141"/>
      <c r="D575" s="153"/>
      <c r="E575" s="142"/>
      <c r="F575" s="143"/>
      <c r="G575" s="152"/>
      <c r="H575" s="152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</row>
    <row r="576" spans="1:26" ht="24.75">
      <c r="A576" s="143"/>
      <c r="B576" s="140"/>
      <c r="C576" s="141"/>
      <c r="D576" s="153"/>
      <c r="E576" s="142"/>
      <c r="F576" s="143"/>
      <c r="G576" s="150"/>
      <c r="H576" s="150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</row>
    <row r="577" spans="1:26" ht="24.75">
      <c r="A577" s="143"/>
      <c r="B577" s="140"/>
      <c r="C577" s="141"/>
      <c r="D577" s="153"/>
      <c r="E577" s="142"/>
      <c r="F577" s="143"/>
      <c r="G577" s="152"/>
      <c r="H577" s="152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</row>
    <row r="578" spans="1:26" ht="24.75">
      <c r="A578" s="143"/>
      <c r="B578" s="140"/>
      <c r="C578" s="141"/>
      <c r="D578" s="153"/>
      <c r="E578" s="142"/>
      <c r="F578" s="143"/>
      <c r="G578" s="150"/>
      <c r="H578" s="150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  <c r="Z578" s="143"/>
    </row>
    <row r="579" spans="1:26" ht="24.75">
      <c r="A579" s="143"/>
      <c r="B579" s="140"/>
      <c r="C579" s="141"/>
      <c r="D579" s="153"/>
      <c r="E579" s="142"/>
      <c r="F579" s="143"/>
      <c r="G579" s="152"/>
      <c r="H579" s="152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</row>
    <row r="580" spans="1:26" ht="24.75">
      <c r="A580" s="143"/>
      <c r="B580" s="140"/>
      <c r="C580" s="141"/>
      <c r="D580" s="153"/>
      <c r="E580" s="142"/>
      <c r="F580" s="143"/>
      <c r="G580" s="150"/>
      <c r="H580" s="150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</row>
    <row r="581" spans="1:26" ht="24.75">
      <c r="A581" s="143"/>
      <c r="B581" s="140"/>
      <c r="C581" s="141"/>
      <c r="D581" s="153"/>
      <c r="E581" s="142"/>
      <c r="F581" s="143"/>
      <c r="G581" s="152"/>
      <c r="H581" s="152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</row>
    <row r="582" spans="1:26" ht="24.75">
      <c r="A582" s="143"/>
      <c r="B582" s="140"/>
      <c r="C582" s="141"/>
      <c r="D582" s="153"/>
      <c r="E582" s="142"/>
      <c r="F582" s="143"/>
      <c r="G582" s="150"/>
      <c r="H582" s="150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</row>
    <row r="583" spans="1:26" ht="24.75">
      <c r="A583" s="143"/>
      <c r="B583" s="140"/>
      <c r="C583" s="141"/>
      <c r="D583" s="153"/>
      <c r="E583" s="142"/>
      <c r="F583" s="143"/>
      <c r="G583" s="152"/>
      <c r="H583" s="152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</row>
    <row r="584" spans="1:26" ht="24.75">
      <c r="A584" s="143"/>
      <c r="B584" s="140"/>
      <c r="C584" s="141"/>
      <c r="D584" s="153"/>
      <c r="E584" s="142"/>
      <c r="F584" s="143"/>
      <c r="G584" s="150"/>
      <c r="H584" s="150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</row>
    <row r="585" spans="1:26" ht="24.75">
      <c r="A585" s="143"/>
      <c r="B585" s="140"/>
      <c r="C585" s="141"/>
      <c r="D585" s="153"/>
      <c r="E585" s="142"/>
      <c r="F585" s="143"/>
      <c r="G585" s="152"/>
      <c r="H585" s="152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</row>
    <row r="586" spans="1:26" ht="24.75">
      <c r="A586" s="143"/>
      <c r="B586" s="140"/>
      <c r="C586" s="141"/>
      <c r="D586" s="153"/>
      <c r="E586" s="142"/>
      <c r="F586" s="143"/>
      <c r="G586" s="150"/>
      <c r="H586" s="150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</row>
    <row r="587" spans="1:26" ht="24.75">
      <c r="A587" s="143"/>
      <c r="B587" s="140"/>
      <c r="C587" s="141"/>
      <c r="D587" s="153"/>
      <c r="E587" s="142"/>
      <c r="F587" s="143"/>
      <c r="G587" s="152"/>
      <c r="H587" s="152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</row>
    <row r="588" spans="1:26" ht="24.75">
      <c r="A588" s="143"/>
      <c r="B588" s="140"/>
      <c r="C588" s="141"/>
      <c r="D588" s="153"/>
      <c r="E588" s="142"/>
      <c r="F588" s="143"/>
      <c r="G588" s="150"/>
      <c r="H588" s="150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</row>
    <row r="589" spans="1:26" ht="24.75">
      <c r="A589" s="143"/>
      <c r="B589" s="140"/>
      <c r="C589" s="141"/>
      <c r="D589" s="153"/>
      <c r="E589" s="142"/>
      <c r="F589" s="143"/>
      <c r="G589" s="152"/>
      <c r="H589" s="152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</row>
    <row r="590" spans="1:26" ht="24.75">
      <c r="A590" s="143"/>
      <c r="B590" s="140"/>
      <c r="C590" s="141"/>
      <c r="D590" s="153"/>
      <c r="E590" s="142"/>
      <c r="F590" s="143"/>
      <c r="G590" s="150"/>
      <c r="H590" s="150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</row>
    <row r="591" spans="1:26" ht="24.75">
      <c r="A591" s="143"/>
      <c r="B591" s="140"/>
      <c r="C591" s="141"/>
      <c r="D591" s="153"/>
      <c r="E591" s="142"/>
      <c r="F591" s="143"/>
      <c r="G591" s="152"/>
      <c r="H591" s="152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  <c r="Z591" s="143"/>
    </row>
    <row r="592" spans="1:26" ht="24.75">
      <c r="A592" s="143"/>
      <c r="B592" s="140"/>
      <c r="C592" s="141"/>
      <c r="D592" s="153"/>
      <c r="E592" s="142"/>
      <c r="F592" s="143"/>
      <c r="G592" s="150"/>
      <c r="H592" s="150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</row>
    <row r="593" spans="1:26" ht="24.75">
      <c r="A593" s="143"/>
      <c r="B593" s="140"/>
      <c r="C593" s="141"/>
      <c r="D593" s="153"/>
      <c r="E593" s="142"/>
      <c r="F593" s="143"/>
      <c r="G593" s="152"/>
      <c r="H593" s="152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</row>
    <row r="594" spans="1:26" ht="24.75">
      <c r="A594" s="143"/>
      <c r="B594" s="140"/>
      <c r="C594" s="141"/>
      <c r="D594" s="153"/>
      <c r="E594" s="142"/>
      <c r="F594" s="143"/>
      <c r="G594" s="150"/>
      <c r="H594" s="150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</row>
    <row r="595" spans="1:26" ht="24.75">
      <c r="A595" s="143"/>
      <c r="B595" s="140"/>
      <c r="C595" s="141"/>
      <c r="D595" s="153"/>
      <c r="E595" s="142"/>
      <c r="F595" s="143"/>
      <c r="G595" s="152"/>
      <c r="H595" s="152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</row>
    <row r="596" spans="1:26" ht="24.75">
      <c r="A596" s="143"/>
      <c r="B596" s="140"/>
      <c r="C596" s="141"/>
      <c r="D596" s="153"/>
      <c r="E596" s="142"/>
      <c r="F596" s="143"/>
      <c r="G596" s="150"/>
      <c r="H596" s="150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</row>
    <row r="597" spans="1:26" ht="24.75">
      <c r="A597" s="143"/>
      <c r="B597" s="140"/>
      <c r="C597" s="141"/>
      <c r="D597" s="153"/>
      <c r="E597" s="142"/>
      <c r="F597" s="143"/>
      <c r="G597" s="152"/>
      <c r="H597" s="152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</row>
    <row r="598" spans="1:26" ht="24.75">
      <c r="A598" s="143"/>
      <c r="B598" s="140"/>
      <c r="C598" s="141"/>
      <c r="D598" s="153"/>
      <c r="E598" s="142"/>
      <c r="F598" s="143"/>
      <c r="G598" s="150"/>
      <c r="H598" s="150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</row>
    <row r="599" spans="1:26" ht="24.75">
      <c r="A599" s="143"/>
      <c r="B599" s="140"/>
      <c r="C599" s="141"/>
      <c r="D599" s="153"/>
      <c r="E599" s="142"/>
      <c r="F599" s="143"/>
      <c r="G599" s="152"/>
      <c r="H599" s="152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</row>
    <row r="600" spans="1:26" ht="24.75">
      <c r="A600" s="143"/>
      <c r="B600" s="140"/>
      <c r="C600" s="141"/>
      <c r="D600" s="153"/>
      <c r="E600" s="142"/>
      <c r="F600" s="143"/>
      <c r="G600" s="150"/>
      <c r="H600" s="150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</row>
    <row r="601" spans="1:26" ht="24.75">
      <c r="A601" s="143"/>
      <c r="B601" s="140"/>
      <c r="C601" s="141"/>
      <c r="D601" s="153"/>
      <c r="E601" s="142"/>
      <c r="F601" s="143"/>
      <c r="G601" s="152"/>
      <c r="H601" s="152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</row>
    <row r="602" spans="1:26" ht="24.75">
      <c r="A602" s="143"/>
      <c r="B602" s="140"/>
      <c r="C602" s="141"/>
      <c r="D602" s="153"/>
      <c r="E602" s="142"/>
      <c r="F602" s="143"/>
      <c r="G602" s="150"/>
      <c r="H602" s="150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</row>
    <row r="603" spans="1:26" ht="24.75">
      <c r="A603" s="143"/>
      <c r="B603" s="140"/>
      <c r="C603" s="141"/>
      <c r="D603" s="153"/>
      <c r="E603" s="142"/>
      <c r="F603" s="143"/>
      <c r="G603" s="152"/>
      <c r="H603" s="152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</row>
    <row r="604" spans="1:26" ht="24.75">
      <c r="A604" s="143"/>
      <c r="B604" s="140"/>
      <c r="C604" s="141"/>
      <c r="D604" s="153"/>
      <c r="E604" s="142"/>
      <c r="F604" s="143"/>
      <c r="G604" s="150"/>
      <c r="H604" s="150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</row>
    <row r="605" spans="1:26" ht="24.75">
      <c r="A605" s="143"/>
      <c r="B605" s="140"/>
      <c r="C605" s="141"/>
      <c r="D605" s="153"/>
      <c r="E605" s="142"/>
      <c r="F605" s="143"/>
      <c r="G605" s="152"/>
      <c r="H605" s="152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</row>
    <row r="606" spans="1:26" ht="24.75">
      <c r="A606" s="143"/>
      <c r="B606" s="140"/>
      <c r="C606" s="141"/>
      <c r="D606" s="153"/>
      <c r="E606" s="142"/>
      <c r="F606" s="143"/>
      <c r="G606" s="150"/>
      <c r="H606" s="150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</row>
    <row r="607" spans="1:26" ht="24.75">
      <c r="A607" s="143"/>
      <c r="B607" s="140"/>
      <c r="C607" s="141"/>
      <c r="D607" s="153"/>
      <c r="E607" s="142"/>
      <c r="F607" s="143"/>
      <c r="G607" s="152"/>
      <c r="H607" s="152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</row>
    <row r="608" spans="1:26" ht="24.75">
      <c r="A608" s="143"/>
      <c r="B608" s="140"/>
      <c r="C608" s="141"/>
      <c r="D608" s="153"/>
      <c r="E608" s="142"/>
      <c r="F608" s="143"/>
      <c r="G608" s="150"/>
      <c r="H608" s="150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</row>
    <row r="609" spans="1:26" ht="24.75">
      <c r="A609" s="143"/>
      <c r="B609" s="140"/>
      <c r="C609" s="141"/>
      <c r="D609" s="153"/>
      <c r="E609" s="142"/>
      <c r="F609" s="143"/>
      <c r="G609" s="152"/>
      <c r="H609" s="152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</row>
    <row r="610" spans="1:26" ht="24.75">
      <c r="A610" s="143"/>
      <c r="B610" s="140"/>
      <c r="C610" s="141"/>
      <c r="D610" s="153"/>
      <c r="E610" s="142"/>
      <c r="F610" s="143"/>
      <c r="G610" s="150"/>
      <c r="H610" s="150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</row>
    <row r="611" spans="1:26" ht="24.75">
      <c r="A611" s="143"/>
      <c r="B611" s="140"/>
      <c r="C611" s="141"/>
      <c r="D611" s="153"/>
      <c r="E611" s="142"/>
      <c r="F611" s="143"/>
      <c r="G611" s="152"/>
      <c r="H611" s="152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</row>
    <row r="612" spans="1:26" ht="24.75">
      <c r="A612" s="143"/>
      <c r="B612" s="140"/>
      <c r="C612" s="141"/>
      <c r="D612" s="153"/>
      <c r="E612" s="142"/>
      <c r="F612" s="143"/>
      <c r="G612" s="150"/>
      <c r="H612" s="150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</row>
    <row r="613" spans="1:26" ht="24.75">
      <c r="A613" s="143"/>
      <c r="B613" s="140"/>
      <c r="C613" s="141"/>
      <c r="D613" s="153"/>
      <c r="E613" s="142"/>
      <c r="F613" s="143"/>
      <c r="G613" s="152"/>
      <c r="H613" s="152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</row>
    <row r="614" spans="1:26" ht="24.75">
      <c r="A614" s="143"/>
      <c r="B614" s="140"/>
      <c r="C614" s="141"/>
      <c r="D614" s="153"/>
      <c r="E614" s="142"/>
      <c r="F614" s="143"/>
      <c r="G614" s="150"/>
      <c r="H614" s="150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</row>
    <row r="615" spans="1:26" ht="24.75">
      <c r="A615" s="143"/>
      <c r="B615" s="140"/>
      <c r="C615" s="141"/>
      <c r="D615" s="153"/>
      <c r="E615" s="142"/>
      <c r="F615" s="143"/>
      <c r="G615" s="152"/>
      <c r="H615" s="152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</row>
    <row r="616" spans="1:26" ht="24.75">
      <c r="A616" s="143"/>
      <c r="B616" s="140"/>
      <c r="C616" s="141"/>
      <c r="D616" s="153"/>
      <c r="E616" s="142"/>
      <c r="F616" s="143"/>
      <c r="G616" s="150"/>
      <c r="H616" s="150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</row>
    <row r="617" spans="1:26" ht="24.75">
      <c r="A617" s="143"/>
      <c r="B617" s="140"/>
      <c r="C617" s="141"/>
      <c r="D617" s="153"/>
      <c r="E617" s="142"/>
      <c r="F617" s="143"/>
      <c r="G617" s="152"/>
      <c r="H617" s="152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</row>
    <row r="618" spans="1:26" ht="24.75">
      <c r="A618" s="143"/>
      <c r="B618" s="140"/>
      <c r="C618" s="141"/>
      <c r="D618" s="153"/>
      <c r="E618" s="142"/>
      <c r="F618" s="143"/>
      <c r="G618" s="150"/>
      <c r="H618" s="150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</row>
    <row r="619" spans="1:26" ht="24.75">
      <c r="A619" s="143"/>
      <c r="B619" s="140"/>
      <c r="C619" s="141"/>
      <c r="D619" s="153"/>
      <c r="E619" s="142"/>
      <c r="F619" s="143"/>
      <c r="G619" s="152"/>
      <c r="H619" s="152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</row>
    <row r="620" spans="1:26" ht="24.75">
      <c r="A620" s="143"/>
      <c r="B620" s="140"/>
      <c r="C620" s="141"/>
      <c r="D620" s="153"/>
      <c r="E620" s="142"/>
      <c r="F620" s="143"/>
      <c r="G620" s="150"/>
      <c r="H620" s="150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</row>
    <row r="621" spans="1:26" ht="24.75">
      <c r="A621" s="143"/>
      <c r="B621" s="140"/>
      <c r="C621" s="141"/>
      <c r="D621" s="153"/>
      <c r="E621" s="142"/>
      <c r="F621" s="143"/>
      <c r="G621" s="152"/>
      <c r="H621" s="152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</row>
    <row r="622" spans="1:26" ht="24.75">
      <c r="A622" s="143"/>
      <c r="B622" s="140"/>
      <c r="C622" s="141"/>
      <c r="D622" s="153"/>
      <c r="E622" s="142"/>
      <c r="F622" s="143"/>
      <c r="G622" s="150"/>
      <c r="H622" s="150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</row>
    <row r="623" spans="1:26" ht="24.75">
      <c r="A623" s="143"/>
      <c r="B623" s="140"/>
      <c r="C623" s="141"/>
      <c r="D623" s="153"/>
      <c r="E623" s="142"/>
      <c r="F623" s="143"/>
      <c r="G623" s="152"/>
      <c r="H623" s="152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</row>
    <row r="624" spans="1:26" ht="24.75">
      <c r="A624" s="143"/>
      <c r="B624" s="140"/>
      <c r="C624" s="141"/>
      <c r="D624" s="153"/>
      <c r="E624" s="142"/>
      <c r="F624" s="143"/>
      <c r="G624" s="150"/>
      <c r="H624" s="150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</row>
    <row r="625" spans="1:26" ht="24.75">
      <c r="A625" s="143"/>
      <c r="B625" s="140"/>
      <c r="C625" s="141"/>
      <c r="D625" s="153"/>
      <c r="E625" s="142"/>
      <c r="F625" s="143"/>
      <c r="G625" s="152"/>
      <c r="H625" s="152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</row>
    <row r="626" spans="1:26" ht="24.75">
      <c r="A626" s="143"/>
      <c r="B626" s="140"/>
      <c r="C626" s="141"/>
      <c r="D626" s="153"/>
      <c r="E626" s="142"/>
      <c r="F626" s="143"/>
      <c r="G626" s="150"/>
      <c r="H626" s="150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</row>
    <row r="627" spans="1:26" ht="24.75">
      <c r="A627" s="143"/>
      <c r="B627" s="140"/>
      <c r="C627" s="141"/>
      <c r="D627" s="153"/>
      <c r="E627" s="142"/>
      <c r="F627" s="143"/>
      <c r="G627" s="152"/>
      <c r="H627" s="152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</row>
    <row r="628" spans="1:26" ht="24.75">
      <c r="A628" s="143"/>
      <c r="B628" s="140"/>
      <c r="C628" s="141"/>
      <c r="D628" s="153"/>
      <c r="E628" s="142"/>
      <c r="F628" s="143"/>
      <c r="G628" s="150"/>
      <c r="H628" s="150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</row>
    <row r="629" spans="1:26" ht="24.75">
      <c r="A629" s="143"/>
      <c r="B629" s="140"/>
      <c r="C629" s="141"/>
      <c r="D629" s="153"/>
      <c r="E629" s="142"/>
      <c r="F629" s="143"/>
      <c r="G629" s="152"/>
      <c r="H629" s="152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</row>
    <row r="630" spans="1:26" ht="24.75">
      <c r="A630" s="143"/>
      <c r="B630" s="140"/>
      <c r="C630" s="141"/>
      <c r="D630" s="153"/>
      <c r="E630" s="142"/>
      <c r="F630" s="143"/>
      <c r="G630" s="150"/>
      <c r="H630" s="150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</row>
    <row r="631" spans="1:26" ht="24.75">
      <c r="A631" s="143"/>
      <c r="B631" s="140"/>
      <c r="C631" s="141"/>
      <c r="D631" s="153"/>
      <c r="E631" s="142"/>
      <c r="F631" s="143"/>
      <c r="G631" s="152"/>
      <c r="H631" s="152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</row>
    <row r="632" spans="1:26" ht="24.75">
      <c r="A632" s="143"/>
      <c r="B632" s="140"/>
      <c r="C632" s="141"/>
      <c r="D632" s="153"/>
      <c r="E632" s="142"/>
      <c r="F632" s="143"/>
      <c r="G632" s="150"/>
      <c r="H632" s="150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</row>
    <row r="633" spans="1:26" ht="24.75">
      <c r="A633" s="143"/>
      <c r="B633" s="140"/>
      <c r="C633" s="141"/>
      <c r="D633" s="153"/>
      <c r="E633" s="142"/>
      <c r="F633" s="143"/>
      <c r="G633" s="152"/>
      <c r="H633" s="152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</row>
    <row r="634" spans="1:26" ht="24.75">
      <c r="A634" s="143"/>
      <c r="B634" s="140"/>
      <c r="C634" s="141"/>
      <c r="D634" s="153"/>
      <c r="E634" s="142"/>
      <c r="F634" s="143"/>
      <c r="G634" s="150"/>
      <c r="H634" s="150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</row>
    <row r="635" spans="1:26" ht="24.75">
      <c r="A635" s="143"/>
      <c r="B635" s="140"/>
      <c r="C635" s="141"/>
      <c r="D635" s="153"/>
      <c r="E635" s="142"/>
      <c r="F635" s="143"/>
      <c r="G635" s="152"/>
      <c r="H635" s="152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</row>
    <row r="636" spans="1:26" ht="24.75">
      <c r="A636" s="143"/>
      <c r="B636" s="140"/>
      <c r="C636" s="141"/>
      <c r="D636" s="153"/>
      <c r="E636" s="142"/>
      <c r="F636" s="143"/>
      <c r="G636" s="150"/>
      <c r="H636" s="150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</row>
    <row r="637" spans="1:26" ht="24.75">
      <c r="A637" s="143"/>
      <c r="B637" s="140"/>
      <c r="C637" s="141"/>
      <c r="D637" s="153"/>
      <c r="E637" s="142"/>
      <c r="F637" s="143"/>
      <c r="G637" s="152"/>
      <c r="H637" s="152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</row>
    <row r="638" spans="1:26" ht="24.75">
      <c r="A638" s="143"/>
      <c r="B638" s="140"/>
      <c r="C638" s="141"/>
      <c r="D638" s="153"/>
      <c r="E638" s="142"/>
      <c r="F638" s="143"/>
      <c r="G638" s="150"/>
      <c r="H638" s="150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</row>
    <row r="639" spans="1:26" ht="24.75">
      <c r="A639" s="143"/>
      <c r="B639" s="140"/>
      <c r="C639" s="141"/>
      <c r="D639" s="153"/>
      <c r="E639" s="142"/>
      <c r="F639" s="143"/>
      <c r="G639" s="152"/>
      <c r="H639" s="152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</row>
    <row r="640" spans="1:26" ht="24.75">
      <c r="A640" s="143"/>
      <c r="B640" s="140"/>
      <c r="C640" s="141"/>
      <c r="D640" s="153"/>
      <c r="E640" s="142"/>
      <c r="F640" s="143"/>
      <c r="G640" s="150"/>
      <c r="H640" s="150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</row>
    <row r="641" spans="1:26" ht="24.75">
      <c r="A641" s="143"/>
      <c r="B641" s="140"/>
      <c r="C641" s="141"/>
      <c r="D641" s="153"/>
      <c r="E641" s="142"/>
      <c r="F641" s="143"/>
      <c r="G641" s="152"/>
      <c r="H641" s="152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</row>
    <row r="642" spans="1:26" ht="24.75">
      <c r="A642" s="143"/>
      <c r="B642" s="140"/>
      <c r="C642" s="141"/>
      <c r="D642" s="153"/>
      <c r="E642" s="142"/>
      <c r="F642" s="143"/>
      <c r="G642" s="150"/>
      <c r="H642" s="150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</row>
    <row r="643" spans="1:26" ht="24.75">
      <c r="A643" s="143"/>
      <c r="B643" s="140"/>
      <c r="C643" s="141"/>
      <c r="D643" s="153"/>
      <c r="E643" s="142"/>
      <c r="F643" s="143"/>
      <c r="G643" s="152"/>
      <c r="H643" s="152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</row>
    <row r="644" spans="1:26" ht="24.75">
      <c r="A644" s="143"/>
      <c r="B644" s="140"/>
      <c r="C644" s="141"/>
      <c r="D644" s="153"/>
      <c r="E644" s="142"/>
      <c r="F644" s="143"/>
      <c r="G644" s="150"/>
      <c r="H644" s="150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</row>
    <row r="645" spans="1:26" ht="24.75">
      <c r="A645" s="143"/>
      <c r="B645" s="140"/>
      <c r="C645" s="141"/>
      <c r="D645" s="153"/>
      <c r="E645" s="142"/>
      <c r="F645" s="143"/>
      <c r="G645" s="152"/>
      <c r="H645" s="152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</row>
    <row r="646" spans="1:26" ht="24.75">
      <c r="A646" s="143"/>
      <c r="B646" s="140"/>
      <c r="C646" s="141"/>
      <c r="D646" s="153"/>
      <c r="E646" s="142"/>
      <c r="F646" s="143"/>
      <c r="G646" s="150"/>
      <c r="H646" s="150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</row>
    <row r="647" spans="1:26" ht="24.75">
      <c r="A647" s="143"/>
      <c r="B647" s="140"/>
      <c r="C647" s="141"/>
      <c r="D647" s="153"/>
      <c r="E647" s="142"/>
      <c r="F647" s="143"/>
      <c r="G647" s="152"/>
      <c r="H647" s="152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</row>
    <row r="648" spans="1:26" ht="24.75">
      <c r="A648" s="143"/>
      <c r="B648" s="140"/>
      <c r="C648" s="141"/>
      <c r="D648" s="153"/>
      <c r="E648" s="142"/>
      <c r="F648" s="143"/>
      <c r="G648" s="150"/>
      <c r="H648" s="150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</row>
    <row r="649" spans="1:26" ht="24.75">
      <c r="A649" s="143"/>
      <c r="B649" s="140"/>
      <c r="C649" s="141"/>
      <c r="D649" s="153"/>
      <c r="E649" s="142"/>
      <c r="F649" s="143"/>
      <c r="G649" s="152"/>
      <c r="H649" s="152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</row>
    <row r="650" spans="1:26" ht="24.75">
      <c r="A650" s="143"/>
      <c r="B650" s="140"/>
      <c r="C650" s="141"/>
      <c r="D650" s="153"/>
      <c r="E650" s="142"/>
      <c r="F650" s="143"/>
      <c r="G650" s="150"/>
      <c r="H650" s="150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</row>
    <row r="651" spans="1:26" ht="24.75">
      <c r="A651" s="143"/>
      <c r="B651" s="140"/>
      <c r="C651" s="141"/>
      <c r="D651" s="153"/>
      <c r="E651" s="142"/>
      <c r="F651" s="143"/>
      <c r="G651" s="152"/>
      <c r="H651" s="152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</row>
    <row r="652" spans="1:26" ht="24.75">
      <c r="A652" s="143"/>
      <c r="B652" s="140"/>
      <c r="C652" s="141"/>
      <c r="D652" s="153"/>
      <c r="E652" s="142"/>
      <c r="F652" s="143"/>
      <c r="G652" s="150"/>
      <c r="H652" s="150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</row>
    <row r="653" spans="1:26" ht="24.75">
      <c r="A653" s="143"/>
      <c r="B653" s="140"/>
      <c r="C653" s="141"/>
      <c r="D653" s="153"/>
      <c r="E653" s="142"/>
      <c r="F653" s="143"/>
      <c r="G653" s="152"/>
      <c r="H653" s="152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</row>
    <row r="654" spans="1:26" ht="24.75">
      <c r="A654" s="143"/>
      <c r="B654" s="140"/>
      <c r="C654" s="141"/>
      <c r="D654" s="153"/>
      <c r="E654" s="142"/>
      <c r="F654" s="143"/>
      <c r="G654" s="150"/>
      <c r="H654" s="150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</row>
    <row r="655" spans="1:26" ht="24.75">
      <c r="A655" s="143"/>
      <c r="B655" s="140"/>
      <c r="C655" s="141"/>
      <c r="D655" s="153"/>
      <c r="E655" s="142"/>
      <c r="F655" s="143"/>
      <c r="G655" s="152"/>
      <c r="H655" s="152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</row>
    <row r="656" spans="1:26" ht="24.75">
      <c r="A656" s="143"/>
      <c r="B656" s="140"/>
      <c r="C656" s="141"/>
      <c r="D656" s="153"/>
      <c r="E656" s="142"/>
      <c r="F656" s="143"/>
      <c r="G656" s="150"/>
      <c r="H656" s="150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</row>
    <row r="657" spans="1:26" ht="24.75">
      <c r="A657" s="143"/>
      <c r="B657" s="140"/>
      <c r="C657" s="141"/>
      <c r="D657" s="153"/>
      <c r="E657" s="142"/>
      <c r="F657" s="143"/>
      <c r="G657" s="152"/>
      <c r="H657" s="152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</row>
    <row r="658" spans="1:26" ht="24.75">
      <c r="A658" s="143"/>
      <c r="B658" s="140"/>
      <c r="C658" s="141"/>
      <c r="D658" s="153"/>
      <c r="E658" s="142"/>
      <c r="F658" s="143"/>
      <c r="G658" s="150"/>
      <c r="H658" s="150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</row>
    <row r="659" spans="1:26" ht="24.75">
      <c r="A659" s="143"/>
      <c r="B659" s="140"/>
      <c r="C659" s="141"/>
      <c r="D659" s="153"/>
      <c r="E659" s="142"/>
      <c r="F659" s="143"/>
      <c r="G659" s="152"/>
      <c r="H659" s="152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</row>
    <row r="660" spans="1:26" ht="24.75">
      <c r="A660" s="143"/>
      <c r="B660" s="140"/>
      <c r="C660" s="141"/>
      <c r="D660" s="153"/>
      <c r="E660" s="142"/>
      <c r="F660" s="143"/>
      <c r="G660" s="150"/>
      <c r="H660" s="150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</row>
    <row r="661" spans="1:26" ht="24.75">
      <c r="A661" s="143"/>
      <c r="B661" s="140"/>
      <c r="C661" s="141"/>
      <c r="D661" s="153"/>
      <c r="E661" s="142"/>
      <c r="F661" s="143"/>
      <c r="G661" s="152"/>
      <c r="H661" s="152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</row>
    <row r="662" spans="1:26" ht="24.75">
      <c r="A662" s="143"/>
      <c r="B662" s="140"/>
      <c r="C662" s="141"/>
      <c r="D662" s="153"/>
      <c r="E662" s="142"/>
      <c r="F662" s="143"/>
      <c r="G662" s="150"/>
      <c r="H662" s="150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</row>
    <row r="663" spans="1:26" ht="24.75">
      <c r="A663" s="143"/>
      <c r="B663" s="140"/>
      <c r="C663" s="141"/>
      <c r="D663" s="153"/>
      <c r="E663" s="142"/>
      <c r="F663" s="143"/>
      <c r="G663" s="152"/>
      <c r="H663" s="152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</row>
    <row r="664" spans="1:26" ht="24.75">
      <c r="A664" s="143"/>
      <c r="B664" s="140"/>
      <c r="C664" s="141"/>
      <c r="D664" s="153"/>
      <c r="E664" s="142"/>
      <c r="F664" s="143"/>
      <c r="G664" s="150"/>
      <c r="H664" s="150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</row>
    <row r="665" spans="1:26" ht="24.75">
      <c r="A665" s="143"/>
      <c r="B665" s="140"/>
      <c r="C665" s="141"/>
      <c r="D665" s="153"/>
      <c r="E665" s="142"/>
      <c r="F665" s="143"/>
      <c r="G665" s="152"/>
      <c r="H665" s="152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</row>
    <row r="666" spans="1:26" ht="24.75">
      <c r="A666" s="143"/>
      <c r="B666" s="140"/>
      <c r="C666" s="141"/>
      <c r="D666" s="153"/>
      <c r="E666" s="142"/>
      <c r="F666" s="143"/>
      <c r="G666" s="150"/>
      <c r="H666" s="150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</row>
    <row r="667" spans="1:26" ht="24.75">
      <c r="A667" s="143"/>
      <c r="B667" s="140"/>
      <c r="C667" s="141"/>
      <c r="D667" s="153"/>
      <c r="E667" s="142"/>
      <c r="F667" s="143"/>
      <c r="G667" s="152"/>
      <c r="H667" s="152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</row>
    <row r="668" spans="1:26" ht="24.75">
      <c r="A668" s="143"/>
      <c r="B668" s="140"/>
      <c r="C668" s="141"/>
      <c r="D668" s="153"/>
      <c r="E668" s="142"/>
      <c r="F668" s="143"/>
      <c r="G668" s="150"/>
      <c r="H668" s="150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</row>
    <row r="669" spans="1:26" ht="24.75">
      <c r="A669" s="143"/>
      <c r="B669" s="140"/>
      <c r="C669" s="141"/>
      <c r="D669" s="153"/>
      <c r="E669" s="142"/>
      <c r="F669" s="143"/>
      <c r="G669" s="152"/>
      <c r="H669" s="152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</row>
    <row r="670" spans="1:26" ht="24.75">
      <c r="A670" s="143"/>
      <c r="B670" s="140"/>
      <c r="C670" s="141"/>
      <c r="D670" s="153"/>
      <c r="E670" s="142"/>
      <c r="F670" s="143"/>
      <c r="G670" s="150"/>
      <c r="H670" s="150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</row>
    <row r="671" spans="1:26" ht="24.75">
      <c r="A671" s="143"/>
      <c r="B671" s="140"/>
      <c r="C671" s="141"/>
      <c r="D671" s="153"/>
      <c r="E671" s="142"/>
      <c r="F671" s="143"/>
      <c r="G671" s="152"/>
      <c r="H671" s="152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</row>
    <row r="672" spans="1:26" ht="24.75">
      <c r="A672" s="143"/>
      <c r="B672" s="140"/>
      <c r="C672" s="141"/>
      <c r="D672" s="153"/>
      <c r="E672" s="142"/>
      <c r="F672" s="143"/>
      <c r="G672" s="150"/>
      <c r="H672" s="150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</row>
    <row r="673" spans="1:26" ht="24.75">
      <c r="A673" s="143"/>
      <c r="B673" s="140"/>
      <c r="C673" s="141"/>
      <c r="D673" s="153"/>
      <c r="E673" s="142"/>
      <c r="F673" s="143"/>
      <c r="G673" s="152"/>
      <c r="H673" s="152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</row>
    <row r="674" spans="1:26" ht="24.75">
      <c r="A674" s="143"/>
      <c r="B674" s="140"/>
      <c r="C674" s="141"/>
      <c r="D674" s="153"/>
      <c r="E674" s="142"/>
      <c r="F674" s="143"/>
      <c r="G674" s="150"/>
      <c r="H674" s="150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</row>
    <row r="675" spans="1:26" ht="24.75">
      <c r="A675" s="143"/>
      <c r="B675" s="140"/>
      <c r="C675" s="141"/>
      <c r="D675" s="153"/>
      <c r="E675" s="142"/>
      <c r="F675" s="143"/>
      <c r="G675" s="152"/>
      <c r="H675" s="152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</row>
    <row r="676" spans="1:26" ht="24.75">
      <c r="A676" s="143"/>
      <c r="B676" s="140"/>
      <c r="C676" s="141"/>
      <c r="D676" s="153"/>
      <c r="E676" s="142"/>
      <c r="F676" s="143"/>
      <c r="G676" s="150"/>
      <c r="H676" s="150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</row>
    <row r="677" spans="1:26" ht="24.75">
      <c r="A677" s="143"/>
      <c r="B677" s="140"/>
      <c r="C677" s="141"/>
      <c r="D677" s="153"/>
      <c r="E677" s="142"/>
      <c r="F677" s="143"/>
      <c r="G677" s="152"/>
      <c r="H677" s="152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</row>
    <row r="678" spans="1:26" ht="24.75">
      <c r="A678" s="143"/>
      <c r="B678" s="140"/>
      <c r="C678" s="141"/>
      <c r="D678" s="153"/>
      <c r="E678" s="142"/>
      <c r="F678" s="143"/>
      <c r="G678" s="150"/>
      <c r="H678" s="150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</row>
    <row r="679" spans="1:26" ht="24.75">
      <c r="A679" s="143"/>
      <c r="B679" s="140"/>
      <c r="C679" s="141"/>
      <c r="D679" s="153"/>
      <c r="E679" s="142"/>
      <c r="F679" s="143"/>
      <c r="G679" s="152"/>
      <c r="H679" s="152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</row>
    <row r="680" spans="1:26" ht="24.75">
      <c r="A680" s="143"/>
      <c r="B680" s="140"/>
      <c r="C680" s="141"/>
      <c r="D680" s="153"/>
      <c r="E680" s="142"/>
      <c r="F680" s="143"/>
      <c r="G680" s="150"/>
      <c r="H680" s="150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</row>
    <row r="681" spans="1:26" ht="24.75">
      <c r="A681" s="143"/>
      <c r="B681" s="140"/>
      <c r="C681" s="141"/>
      <c r="D681" s="153"/>
      <c r="E681" s="142"/>
      <c r="F681" s="143"/>
      <c r="G681" s="152"/>
      <c r="H681" s="152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</row>
    <row r="682" spans="1:26" ht="24.75">
      <c r="A682" s="143"/>
      <c r="B682" s="140"/>
      <c r="C682" s="141"/>
      <c r="D682" s="153"/>
      <c r="E682" s="142"/>
      <c r="F682" s="143"/>
      <c r="G682" s="150"/>
      <c r="H682" s="150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</row>
    <row r="683" spans="1:26" ht="24.75">
      <c r="A683" s="143"/>
      <c r="B683" s="140"/>
      <c r="C683" s="141"/>
      <c r="D683" s="153"/>
      <c r="E683" s="142"/>
      <c r="F683" s="143"/>
      <c r="G683" s="152"/>
      <c r="H683" s="152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</row>
    <row r="684" spans="1:26" ht="24.75">
      <c r="A684" s="143"/>
      <c r="B684" s="140"/>
      <c r="C684" s="141"/>
      <c r="D684" s="153"/>
      <c r="E684" s="142"/>
      <c r="F684" s="143"/>
      <c r="G684" s="150"/>
      <c r="H684" s="150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</row>
    <row r="685" spans="1:26" ht="24.75">
      <c r="A685" s="143"/>
      <c r="B685" s="140"/>
      <c r="C685" s="141"/>
      <c r="D685" s="153"/>
      <c r="E685" s="142"/>
      <c r="F685" s="143"/>
      <c r="G685" s="152"/>
      <c r="H685" s="152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</row>
    <row r="686" spans="1:26" ht="24.75">
      <c r="A686" s="143"/>
      <c r="B686" s="140"/>
      <c r="C686" s="141"/>
      <c r="D686" s="153"/>
      <c r="E686" s="142"/>
      <c r="F686" s="143"/>
      <c r="G686" s="150"/>
      <c r="H686" s="150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</row>
    <row r="687" spans="1:26" ht="24.75">
      <c r="A687" s="143"/>
      <c r="B687" s="140"/>
      <c r="C687" s="141"/>
      <c r="D687" s="153"/>
      <c r="E687" s="142"/>
      <c r="F687" s="143"/>
      <c r="G687" s="152"/>
      <c r="H687" s="152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</row>
    <row r="688" spans="1:26" ht="24.75">
      <c r="A688" s="143"/>
      <c r="B688" s="140"/>
      <c r="C688" s="141"/>
      <c r="D688" s="153"/>
      <c r="E688" s="142"/>
      <c r="F688" s="143"/>
      <c r="G688" s="150"/>
      <c r="H688" s="150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</row>
    <row r="689" spans="1:26" ht="24.75">
      <c r="A689" s="143"/>
      <c r="B689" s="140"/>
      <c r="C689" s="141"/>
      <c r="D689" s="153"/>
      <c r="E689" s="142"/>
      <c r="F689" s="143"/>
      <c r="G689" s="152"/>
      <c r="H689" s="152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</row>
    <row r="690" spans="1:26" ht="24.75">
      <c r="A690" s="143"/>
      <c r="B690" s="140"/>
      <c r="C690" s="141"/>
      <c r="D690" s="153"/>
      <c r="E690" s="142"/>
      <c r="F690" s="143"/>
      <c r="G690" s="150"/>
      <c r="H690" s="150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</row>
    <row r="691" spans="1:26" ht="24.75">
      <c r="A691" s="143"/>
      <c r="B691" s="140"/>
      <c r="C691" s="141"/>
      <c r="D691" s="153"/>
      <c r="E691" s="142"/>
      <c r="F691" s="143"/>
      <c r="G691" s="152"/>
      <c r="H691" s="152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</row>
    <row r="692" spans="1:26" ht="24.75">
      <c r="A692" s="143"/>
      <c r="B692" s="140"/>
      <c r="C692" s="141"/>
      <c r="D692" s="153"/>
      <c r="E692" s="142"/>
      <c r="F692" s="143"/>
      <c r="G692" s="150"/>
      <c r="H692" s="150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</row>
    <row r="693" spans="1:26" ht="24.75">
      <c r="A693" s="143"/>
      <c r="B693" s="140"/>
      <c r="C693" s="141"/>
      <c r="D693" s="153"/>
      <c r="E693" s="142"/>
      <c r="F693" s="143"/>
      <c r="G693" s="152"/>
      <c r="H693" s="152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</row>
    <row r="694" spans="1:26" ht="24.75">
      <c r="A694" s="143"/>
      <c r="B694" s="140"/>
      <c r="C694" s="141"/>
      <c r="D694" s="153"/>
      <c r="E694" s="142"/>
      <c r="F694" s="143"/>
      <c r="G694" s="150"/>
      <c r="H694" s="150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</row>
    <row r="695" spans="1:26" ht="24.75">
      <c r="A695" s="143"/>
      <c r="B695" s="140"/>
      <c r="C695" s="141"/>
      <c r="D695" s="153"/>
      <c r="E695" s="142"/>
      <c r="F695" s="143"/>
      <c r="G695" s="152"/>
      <c r="H695" s="152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</row>
    <row r="696" spans="1:26" ht="24.75">
      <c r="A696" s="143"/>
      <c r="B696" s="140"/>
      <c r="C696" s="141"/>
      <c r="D696" s="153"/>
      <c r="E696" s="142"/>
      <c r="F696" s="143"/>
      <c r="G696" s="150"/>
      <c r="H696" s="150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</row>
    <row r="697" spans="1:26" ht="24.75">
      <c r="A697" s="143"/>
      <c r="B697" s="140"/>
      <c r="C697" s="141"/>
      <c r="D697" s="153"/>
      <c r="E697" s="142"/>
      <c r="F697" s="143"/>
      <c r="G697" s="152"/>
      <c r="H697" s="152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</row>
    <row r="698" spans="1:26" ht="24.75">
      <c r="A698" s="143"/>
      <c r="B698" s="140"/>
      <c r="C698" s="141"/>
      <c r="D698" s="153"/>
      <c r="E698" s="142"/>
      <c r="F698" s="143"/>
      <c r="G698" s="150"/>
      <c r="H698" s="150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</row>
    <row r="699" spans="1:26" ht="24.75">
      <c r="A699" s="143"/>
      <c r="B699" s="140"/>
      <c r="C699" s="141"/>
      <c r="D699" s="153"/>
      <c r="E699" s="142"/>
      <c r="F699" s="143"/>
      <c r="G699" s="152"/>
      <c r="H699" s="152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</row>
    <row r="700" spans="1:26" ht="24.75">
      <c r="A700" s="143"/>
      <c r="B700" s="140"/>
      <c r="C700" s="141"/>
      <c r="D700" s="153"/>
      <c r="E700" s="142"/>
      <c r="F700" s="143"/>
      <c r="G700" s="150"/>
      <c r="H700" s="150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</row>
    <row r="701" spans="1:26" ht="24.75">
      <c r="A701" s="143"/>
      <c r="B701" s="140"/>
      <c r="C701" s="141"/>
      <c r="D701" s="153"/>
      <c r="E701" s="142"/>
      <c r="F701" s="143"/>
      <c r="G701" s="152"/>
      <c r="H701" s="152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</row>
    <row r="702" spans="1:26" ht="24.75">
      <c r="A702" s="143"/>
      <c r="B702" s="140"/>
      <c r="C702" s="141"/>
      <c r="D702" s="153"/>
      <c r="E702" s="142"/>
      <c r="F702" s="143"/>
      <c r="G702" s="150"/>
      <c r="H702" s="150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</row>
    <row r="703" spans="1:26" ht="24.75">
      <c r="A703" s="143"/>
      <c r="B703" s="140"/>
      <c r="C703" s="141"/>
      <c r="D703" s="153"/>
      <c r="E703" s="142"/>
      <c r="F703" s="143"/>
      <c r="G703" s="152"/>
      <c r="H703" s="152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</row>
    <row r="704" spans="1:26" ht="24.75">
      <c r="A704" s="143"/>
      <c r="B704" s="140"/>
      <c r="C704" s="141"/>
      <c r="D704" s="153"/>
      <c r="E704" s="142"/>
      <c r="F704" s="143"/>
      <c r="G704" s="150"/>
      <c r="H704" s="150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</row>
    <row r="705" spans="1:26" ht="24.75">
      <c r="A705" s="143"/>
      <c r="B705" s="140"/>
      <c r="C705" s="141"/>
      <c r="D705" s="153"/>
      <c r="E705" s="142"/>
      <c r="F705" s="143"/>
      <c r="G705" s="152"/>
      <c r="H705" s="152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</row>
    <row r="706" spans="1:26" ht="24.75">
      <c r="A706" s="143"/>
      <c r="B706" s="140"/>
      <c r="C706" s="141"/>
      <c r="D706" s="153"/>
      <c r="E706" s="142"/>
      <c r="F706" s="143"/>
      <c r="G706" s="150"/>
      <c r="H706" s="150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</row>
    <row r="707" spans="1:26" ht="24.75">
      <c r="A707" s="143"/>
      <c r="B707" s="140"/>
      <c r="C707" s="141"/>
      <c r="D707" s="153"/>
      <c r="E707" s="142"/>
      <c r="F707" s="143"/>
      <c r="G707" s="152"/>
      <c r="H707" s="152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</row>
    <row r="708" spans="1:26" ht="24.75">
      <c r="A708" s="143"/>
      <c r="B708" s="140"/>
      <c r="C708" s="141"/>
      <c r="D708" s="153"/>
      <c r="E708" s="142"/>
      <c r="F708" s="143"/>
      <c r="G708" s="150"/>
      <c r="H708" s="150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</row>
    <row r="709" spans="1:26" ht="24.75">
      <c r="A709" s="143"/>
      <c r="B709" s="140"/>
      <c r="C709" s="141"/>
      <c r="D709" s="153"/>
      <c r="E709" s="142"/>
      <c r="F709" s="143"/>
      <c r="G709" s="152"/>
      <c r="H709" s="152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</row>
    <row r="710" spans="1:26" ht="24.75">
      <c r="A710" s="143"/>
      <c r="B710" s="140"/>
      <c r="C710" s="141"/>
      <c r="D710" s="153"/>
      <c r="E710" s="142"/>
      <c r="F710" s="143"/>
      <c r="G710" s="150"/>
      <c r="H710" s="150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</row>
    <row r="711" spans="1:26" ht="24.75">
      <c r="A711" s="143"/>
      <c r="B711" s="140"/>
      <c r="C711" s="141"/>
      <c r="D711" s="153"/>
      <c r="E711" s="142"/>
      <c r="F711" s="143"/>
      <c r="G711" s="152"/>
      <c r="H711" s="152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</row>
    <row r="712" spans="1:26" ht="24.75">
      <c r="A712" s="143"/>
      <c r="B712" s="140"/>
      <c r="C712" s="141"/>
      <c r="D712" s="153"/>
      <c r="E712" s="142"/>
      <c r="F712" s="143"/>
      <c r="G712" s="150"/>
      <c r="H712" s="150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</row>
    <row r="713" spans="1:26" ht="24.75">
      <c r="A713" s="143"/>
      <c r="B713" s="140"/>
      <c r="C713" s="141"/>
      <c r="D713" s="153"/>
      <c r="E713" s="142"/>
      <c r="F713" s="143"/>
      <c r="G713" s="152"/>
      <c r="H713" s="152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</row>
    <row r="714" spans="1:26" ht="24.75">
      <c r="A714" s="143"/>
      <c r="B714" s="140"/>
      <c r="C714" s="141"/>
      <c r="D714" s="153"/>
      <c r="E714" s="142"/>
      <c r="F714" s="143"/>
      <c r="G714" s="150"/>
      <c r="H714" s="150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</row>
    <row r="715" spans="1:26" ht="24.75">
      <c r="A715" s="143"/>
      <c r="B715" s="140"/>
      <c r="C715" s="141"/>
      <c r="D715" s="153"/>
      <c r="E715" s="142"/>
      <c r="F715" s="143"/>
      <c r="G715" s="152"/>
      <c r="H715" s="152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</row>
    <row r="716" spans="1:26" ht="24.75">
      <c r="A716" s="143"/>
      <c r="B716" s="140"/>
      <c r="C716" s="141"/>
      <c r="D716" s="153"/>
      <c r="E716" s="142"/>
      <c r="F716" s="143"/>
      <c r="G716" s="150"/>
      <c r="H716" s="150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</row>
    <row r="717" spans="1:26" ht="24.75">
      <c r="A717" s="143"/>
      <c r="B717" s="140"/>
      <c r="C717" s="141"/>
      <c r="D717" s="153"/>
      <c r="E717" s="142"/>
      <c r="F717" s="143"/>
      <c r="G717" s="152"/>
      <c r="H717" s="152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</row>
    <row r="718" spans="1:26" ht="24.75">
      <c r="A718" s="143"/>
      <c r="B718" s="140"/>
      <c r="C718" s="141"/>
      <c r="D718" s="153"/>
      <c r="E718" s="142"/>
      <c r="F718" s="143"/>
      <c r="G718" s="150"/>
      <c r="H718" s="150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</row>
    <row r="719" spans="1:26" ht="24.75">
      <c r="A719" s="143"/>
      <c r="B719" s="140"/>
      <c r="C719" s="141"/>
      <c r="D719" s="153"/>
      <c r="E719" s="142"/>
      <c r="F719" s="143"/>
      <c r="G719" s="152"/>
      <c r="H719" s="152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</row>
    <row r="720" spans="1:26" ht="24.75">
      <c r="A720" s="143"/>
      <c r="B720" s="140"/>
      <c r="C720" s="141"/>
      <c r="D720" s="153"/>
      <c r="E720" s="142"/>
      <c r="F720" s="143"/>
      <c r="G720" s="150"/>
      <c r="H720" s="150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</row>
    <row r="721" spans="1:26" ht="24.75">
      <c r="A721" s="143"/>
      <c r="B721" s="140"/>
      <c r="C721" s="141"/>
      <c r="D721" s="153"/>
      <c r="E721" s="142"/>
      <c r="F721" s="143"/>
      <c r="G721" s="152"/>
      <c r="H721" s="152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</row>
    <row r="722" spans="1:26" ht="24.75">
      <c r="A722" s="143"/>
      <c r="B722" s="140"/>
      <c r="C722" s="141"/>
      <c r="D722" s="153"/>
      <c r="E722" s="142"/>
      <c r="F722" s="143"/>
      <c r="G722" s="150"/>
      <c r="H722" s="150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</row>
    <row r="723" spans="1:26" ht="24.75">
      <c r="A723" s="143"/>
      <c r="B723" s="140"/>
      <c r="C723" s="141"/>
      <c r="D723" s="153"/>
      <c r="E723" s="142"/>
      <c r="F723" s="143"/>
      <c r="G723" s="152"/>
      <c r="H723" s="152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</row>
    <row r="724" spans="1:26" ht="24.75">
      <c r="A724" s="143"/>
      <c r="B724" s="140"/>
      <c r="C724" s="141"/>
      <c r="D724" s="153"/>
      <c r="E724" s="142"/>
      <c r="F724" s="143"/>
      <c r="G724" s="150"/>
      <c r="H724" s="150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</row>
    <row r="725" spans="1:26" ht="24.75">
      <c r="A725" s="143"/>
      <c r="B725" s="140"/>
      <c r="C725" s="141"/>
      <c r="D725" s="153"/>
      <c r="E725" s="142"/>
      <c r="F725" s="143"/>
      <c r="G725" s="152"/>
      <c r="H725" s="152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</row>
    <row r="726" spans="1:26" ht="24.75">
      <c r="A726" s="143"/>
      <c r="B726" s="140"/>
      <c r="C726" s="141"/>
      <c r="D726" s="153"/>
      <c r="E726" s="142"/>
      <c r="F726" s="143"/>
      <c r="G726" s="150"/>
      <c r="H726" s="150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</row>
    <row r="727" spans="1:26" ht="24.75">
      <c r="A727" s="143"/>
      <c r="B727" s="140"/>
      <c r="C727" s="141"/>
      <c r="D727" s="153"/>
      <c r="E727" s="142"/>
      <c r="F727" s="143"/>
      <c r="G727" s="152"/>
      <c r="H727" s="152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</row>
    <row r="728" spans="1:26" ht="24.75">
      <c r="A728" s="143"/>
      <c r="B728" s="140"/>
      <c r="C728" s="141"/>
      <c r="D728" s="153"/>
      <c r="E728" s="142"/>
      <c r="F728" s="143"/>
      <c r="G728" s="150"/>
      <c r="H728" s="150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</row>
    <row r="729" spans="1:26" ht="24.75">
      <c r="A729" s="143"/>
      <c r="B729" s="140"/>
      <c r="C729" s="141"/>
      <c r="D729" s="153"/>
      <c r="E729" s="142"/>
      <c r="F729" s="143"/>
      <c r="G729" s="152"/>
      <c r="H729" s="152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</row>
    <row r="730" spans="1:26" ht="24.75">
      <c r="A730" s="143"/>
      <c r="B730" s="140"/>
      <c r="C730" s="141"/>
      <c r="D730" s="153"/>
      <c r="E730" s="142"/>
      <c r="F730" s="143"/>
      <c r="G730" s="150"/>
      <c r="H730" s="150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</row>
    <row r="731" spans="1:26" ht="24.75">
      <c r="A731" s="143"/>
      <c r="B731" s="140"/>
      <c r="C731" s="141"/>
      <c r="D731" s="153"/>
      <c r="E731" s="142"/>
      <c r="F731" s="143"/>
      <c r="G731" s="152"/>
      <c r="H731" s="152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</row>
    <row r="732" spans="1:26" ht="24.75">
      <c r="A732" s="143"/>
      <c r="B732" s="140"/>
      <c r="C732" s="141"/>
      <c r="D732" s="153"/>
      <c r="E732" s="142"/>
      <c r="F732" s="143"/>
      <c r="G732" s="150"/>
      <c r="H732" s="150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</row>
    <row r="733" spans="1:26" ht="24.75">
      <c r="A733" s="143"/>
      <c r="B733" s="140"/>
      <c r="C733" s="141"/>
      <c r="D733" s="153"/>
      <c r="E733" s="142"/>
      <c r="F733" s="143"/>
      <c r="G733" s="152"/>
      <c r="H733" s="152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</row>
    <row r="734" spans="1:26" ht="24.75">
      <c r="A734" s="143"/>
      <c r="B734" s="140"/>
      <c r="C734" s="141"/>
      <c r="D734" s="153"/>
      <c r="E734" s="142"/>
      <c r="F734" s="143"/>
      <c r="G734" s="150"/>
      <c r="H734" s="150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</row>
    <row r="735" spans="1:26" ht="24.75">
      <c r="A735" s="143"/>
      <c r="B735" s="140"/>
      <c r="C735" s="141"/>
      <c r="D735" s="153"/>
      <c r="E735" s="142"/>
      <c r="F735" s="143"/>
      <c r="G735" s="152"/>
      <c r="H735" s="152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</row>
    <row r="736" spans="1:26" ht="24.75">
      <c r="A736" s="143"/>
      <c r="B736" s="140"/>
      <c r="C736" s="141"/>
      <c r="D736" s="153"/>
      <c r="E736" s="142"/>
      <c r="F736" s="143"/>
      <c r="G736" s="150"/>
      <c r="H736" s="150"/>
      <c r="I736" s="143"/>
      <c r="J736" s="143"/>
      <c r="K736" s="143"/>
      <c r="L736" s="143"/>
      <c r="M736" s="143"/>
      <c r="N736" s="143"/>
      <c r="O736" s="143"/>
      <c r="P736" s="143"/>
      <c r="Q736" s="143"/>
      <c r="R736" s="143"/>
      <c r="S736" s="143"/>
      <c r="T736" s="143"/>
      <c r="U736" s="143"/>
      <c r="V736" s="143"/>
      <c r="W736" s="143"/>
      <c r="X736" s="143"/>
      <c r="Y736" s="143"/>
      <c r="Z736" s="143"/>
    </row>
    <row r="737" spans="1:26" ht="24.75">
      <c r="A737" s="143"/>
      <c r="B737" s="140"/>
      <c r="C737" s="141"/>
      <c r="D737" s="153"/>
      <c r="E737" s="142"/>
      <c r="F737" s="143"/>
      <c r="G737" s="152"/>
      <c r="H737" s="152"/>
      <c r="I737" s="143"/>
      <c r="J737" s="143"/>
      <c r="K737" s="143"/>
      <c r="L737" s="143"/>
      <c r="M737" s="143"/>
      <c r="N737" s="143"/>
      <c r="O737" s="143"/>
      <c r="P737" s="143"/>
      <c r="Q737" s="143"/>
      <c r="R737" s="143"/>
      <c r="S737" s="143"/>
      <c r="T737" s="143"/>
      <c r="U737" s="143"/>
      <c r="V737" s="143"/>
      <c r="W737" s="143"/>
      <c r="X737" s="143"/>
      <c r="Y737" s="143"/>
      <c r="Z737" s="143"/>
    </row>
    <row r="738" spans="1:26" ht="24.75">
      <c r="A738" s="143"/>
      <c r="B738" s="140"/>
      <c r="C738" s="141"/>
      <c r="D738" s="153"/>
      <c r="E738" s="142"/>
      <c r="F738" s="143"/>
      <c r="G738" s="150"/>
      <c r="H738" s="150"/>
      <c r="I738" s="143"/>
      <c r="J738" s="143"/>
      <c r="K738" s="143"/>
      <c r="L738" s="143"/>
      <c r="M738" s="143"/>
      <c r="N738" s="143"/>
      <c r="O738" s="143"/>
      <c r="P738" s="143"/>
      <c r="Q738" s="143"/>
      <c r="R738" s="143"/>
      <c r="S738" s="143"/>
      <c r="T738" s="143"/>
      <c r="U738" s="143"/>
      <c r="V738" s="143"/>
      <c r="W738" s="143"/>
      <c r="X738" s="143"/>
      <c r="Y738" s="143"/>
      <c r="Z738" s="143"/>
    </row>
    <row r="739" spans="1:26" ht="24.75">
      <c r="A739" s="143"/>
      <c r="B739" s="140"/>
      <c r="C739" s="141"/>
      <c r="D739" s="153"/>
      <c r="E739" s="142"/>
      <c r="F739" s="143"/>
      <c r="G739" s="152"/>
      <c r="H739" s="152"/>
      <c r="I739" s="143"/>
      <c r="J739" s="143"/>
      <c r="K739" s="143"/>
      <c r="L739" s="143"/>
      <c r="M739" s="143"/>
      <c r="N739" s="143"/>
      <c r="O739" s="143"/>
      <c r="P739" s="143"/>
      <c r="Q739" s="143"/>
      <c r="R739" s="143"/>
      <c r="S739" s="143"/>
      <c r="T739" s="143"/>
      <c r="U739" s="143"/>
      <c r="V739" s="143"/>
      <c r="W739" s="143"/>
      <c r="X739" s="143"/>
      <c r="Y739" s="143"/>
      <c r="Z739" s="143"/>
    </row>
    <row r="740" spans="1:26" ht="24.75">
      <c r="A740" s="143"/>
      <c r="B740" s="140"/>
      <c r="C740" s="141"/>
      <c r="D740" s="153"/>
      <c r="E740" s="142"/>
      <c r="F740" s="143"/>
      <c r="G740" s="150"/>
      <c r="H740" s="150"/>
      <c r="I740" s="143"/>
      <c r="J740" s="143"/>
      <c r="K740" s="143"/>
      <c r="L740" s="143"/>
      <c r="M740" s="143"/>
      <c r="N740" s="143"/>
      <c r="O740" s="143"/>
      <c r="P740" s="143"/>
      <c r="Q740" s="143"/>
      <c r="R740" s="143"/>
      <c r="S740" s="143"/>
      <c r="T740" s="143"/>
      <c r="U740" s="143"/>
      <c r="V740" s="143"/>
      <c r="W740" s="143"/>
      <c r="X740" s="143"/>
      <c r="Y740" s="143"/>
      <c r="Z740" s="143"/>
    </row>
    <row r="741" spans="1:26" ht="24.75">
      <c r="A741" s="143"/>
      <c r="B741" s="140"/>
      <c r="C741" s="141"/>
      <c r="D741" s="153"/>
      <c r="E741" s="142"/>
      <c r="F741" s="143"/>
      <c r="G741" s="152"/>
      <c r="H741" s="152"/>
      <c r="I741" s="143"/>
      <c r="J741" s="143"/>
      <c r="K741" s="143"/>
      <c r="L741" s="143"/>
      <c r="M741" s="143"/>
      <c r="N741" s="143"/>
      <c r="O741" s="143"/>
      <c r="P741" s="143"/>
      <c r="Q741" s="143"/>
      <c r="R741" s="143"/>
      <c r="S741" s="143"/>
      <c r="T741" s="143"/>
      <c r="U741" s="143"/>
      <c r="V741" s="143"/>
      <c r="W741" s="143"/>
      <c r="X741" s="143"/>
      <c r="Y741" s="143"/>
      <c r="Z741" s="143"/>
    </row>
    <row r="742" spans="1:26" ht="24.75">
      <c r="A742" s="143"/>
      <c r="B742" s="140"/>
      <c r="C742" s="141"/>
      <c r="D742" s="153"/>
      <c r="E742" s="142"/>
      <c r="F742" s="143"/>
      <c r="G742" s="150"/>
      <c r="H742" s="150"/>
      <c r="I742" s="143"/>
      <c r="J742" s="143"/>
      <c r="K742" s="143"/>
      <c r="L742" s="143"/>
      <c r="M742" s="143"/>
      <c r="N742" s="143"/>
      <c r="O742" s="143"/>
      <c r="P742" s="143"/>
      <c r="Q742" s="143"/>
      <c r="R742" s="143"/>
      <c r="S742" s="143"/>
      <c r="T742" s="143"/>
      <c r="U742" s="143"/>
      <c r="V742" s="143"/>
      <c r="W742" s="143"/>
      <c r="X742" s="143"/>
      <c r="Y742" s="143"/>
      <c r="Z742" s="143"/>
    </row>
    <row r="743" spans="1:26" ht="24.75">
      <c r="A743" s="143"/>
      <c r="B743" s="140"/>
      <c r="C743" s="141"/>
      <c r="D743" s="153"/>
      <c r="E743" s="142"/>
      <c r="F743" s="143"/>
      <c r="G743" s="152"/>
      <c r="H743" s="152"/>
      <c r="I743" s="143"/>
      <c r="J743" s="143"/>
      <c r="K743" s="143"/>
      <c r="L743" s="143"/>
      <c r="M743" s="143"/>
      <c r="N743" s="143"/>
      <c r="O743" s="143"/>
      <c r="P743" s="143"/>
      <c r="Q743" s="143"/>
      <c r="R743" s="143"/>
      <c r="S743" s="143"/>
      <c r="T743" s="143"/>
      <c r="U743" s="143"/>
      <c r="V743" s="143"/>
      <c r="W743" s="143"/>
      <c r="X743" s="143"/>
      <c r="Y743" s="143"/>
      <c r="Z743" s="143"/>
    </row>
    <row r="744" spans="1:26" ht="24.75">
      <c r="A744" s="143"/>
      <c r="B744" s="140"/>
      <c r="C744" s="141"/>
      <c r="D744" s="153"/>
      <c r="E744" s="142"/>
      <c r="F744" s="143"/>
      <c r="G744" s="150"/>
      <c r="H744" s="150"/>
      <c r="I744" s="143"/>
      <c r="J744" s="143"/>
      <c r="K744" s="143"/>
      <c r="L744" s="143"/>
      <c r="M744" s="143"/>
      <c r="N744" s="143"/>
      <c r="O744" s="143"/>
      <c r="P744" s="143"/>
      <c r="Q744" s="143"/>
      <c r="R744" s="143"/>
      <c r="S744" s="143"/>
      <c r="T744" s="143"/>
      <c r="U744" s="143"/>
      <c r="V744" s="143"/>
      <c r="W744" s="143"/>
      <c r="X744" s="143"/>
      <c r="Y744" s="143"/>
      <c r="Z744" s="143"/>
    </row>
    <row r="745" spans="1:26" ht="24.75">
      <c r="A745" s="143"/>
      <c r="B745" s="140"/>
      <c r="C745" s="141"/>
      <c r="D745" s="153"/>
      <c r="E745" s="142"/>
      <c r="F745" s="143"/>
      <c r="G745" s="152"/>
      <c r="H745" s="152"/>
      <c r="I745" s="143"/>
      <c r="J745" s="143"/>
      <c r="K745" s="143"/>
      <c r="L745" s="143"/>
      <c r="M745" s="143"/>
      <c r="N745" s="143"/>
      <c r="O745" s="143"/>
      <c r="P745" s="143"/>
      <c r="Q745" s="143"/>
      <c r="R745" s="143"/>
      <c r="S745" s="143"/>
      <c r="T745" s="143"/>
      <c r="U745" s="143"/>
      <c r="V745" s="143"/>
      <c r="W745" s="143"/>
      <c r="X745" s="143"/>
      <c r="Y745" s="143"/>
      <c r="Z745" s="143"/>
    </row>
    <row r="746" spans="1:26" ht="24.75">
      <c r="A746" s="143"/>
      <c r="B746" s="140"/>
      <c r="C746" s="141"/>
      <c r="D746" s="153"/>
      <c r="E746" s="142"/>
      <c r="F746" s="143"/>
      <c r="G746" s="150"/>
      <c r="H746" s="150"/>
      <c r="I746" s="143"/>
      <c r="J746" s="143"/>
      <c r="K746" s="143"/>
      <c r="L746" s="143"/>
      <c r="M746" s="143"/>
      <c r="N746" s="143"/>
      <c r="O746" s="143"/>
      <c r="P746" s="143"/>
      <c r="Q746" s="143"/>
      <c r="R746" s="143"/>
      <c r="S746" s="143"/>
      <c r="T746" s="143"/>
      <c r="U746" s="143"/>
      <c r="V746" s="143"/>
      <c r="W746" s="143"/>
      <c r="X746" s="143"/>
      <c r="Y746" s="143"/>
      <c r="Z746" s="143"/>
    </row>
    <row r="747" spans="1:26" ht="24.75">
      <c r="A747" s="143"/>
      <c r="B747" s="140"/>
      <c r="C747" s="141"/>
      <c r="D747" s="153"/>
      <c r="E747" s="142"/>
      <c r="F747" s="143"/>
      <c r="G747" s="152"/>
      <c r="H747" s="152"/>
      <c r="I747" s="143"/>
      <c r="J747" s="143"/>
      <c r="K747" s="143"/>
      <c r="L747" s="143"/>
      <c r="M747" s="143"/>
      <c r="N747" s="143"/>
      <c r="O747" s="143"/>
      <c r="P747" s="143"/>
      <c r="Q747" s="143"/>
      <c r="R747" s="143"/>
      <c r="S747" s="143"/>
      <c r="T747" s="143"/>
      <c r="U747" s="143"/>
      <c r="V747" s="143"/>
      <c r="W747" s="143"/>
      <c r="X747" s="143"/>
      <c r="Y747" s="143"/>
      <c r="Z747" s="143"/>
    </row>
    <row r="748" spans="1:26" ht="24.75">
      <c r="A748" s="143"/>
      <c r="B748" s="140"/>
      <c r="C748" s="141"/>
      <c r="D748" s="153"/>
      <c r="E748" s="142"/>
      <c r="F748" s="143"/>
      <c r="G748" s="150"/>
      <c r="H748" s="150"/>
      <c r="I748" s="143"/>
      <c r="J748" s="143"/>
      <c r="K748" s="143"/>
      <c r="L748" s="143"/>
      <c r="M748" s="143"/>
      <c r="N748" s="143"/>
      <c r="O748" s="143"/>
      <c r="P748" s="143"/>
      <c r="Q748" s="143"/>
      <c r="R748" s="143"/>
      <c r="S748" s="143"/>
      <c r="T748" s="143"/>
      <c r="U748" s="143"/>
      <c r="V748" s="143"/>
      <c r="W748" s="143"/>
      <c r="X748" s="143"/>
      <c r="Y748" s="143"/>
      <c r="Z748" s="143"/>
    </row>
    <row r="749" spans="1:26" ht="24.75">
      <c r="A749" s="143"/>
      <c r="B749" s="140"/>
      <c r="C749" s="141"/>
      <c r="D749" s="153"/>
      <c r="E749" s="142"/>
      <c r="F749" s="143"/>
      <c r="G749" s="152"/>
      <c r="H749" s="152"/>
      <c r="I749" s="143"/>
      <c r="J749" s="143"/>
      <c r="K749" s="143"/>
      <c r="L749" s="143"/>
      <c r="M749" s="143"/>
      <c r="N749" s="143"/>
      <c r="O749" s="143"/>
      <c r="P749" s="143"/>
      <c r="Q749" s="143"/>
      <c r="R749" s="143"/>
      <c r="S749" s="143"/>
      <c r="T749" s="143"/>
      <c r="U749" s="143"/>
      <c r="V749" s="143"/>
      <c r="W749" s="143"/>
      <c r="X749" s="143"/>
      <c r="Y749" s="143"/>
      <c r="Z749" s="143"/>
    </row>
    <row r="750" spans="1:26" ht="24.75">
      <c r="A750" s="143"/>
      <c r="B750" s="140"/>
      <c r="C750" s="141"/>
      <c r="D750" s="153"/>
      <c r="E750" s="142"/>
      <c r="F750" s="143"/>
      <c r="G750" s="150"/>
      <c r="H750" s="150"/>
      <c r="I750" s="143"/>
      <c r="J750" s="143"/>
      <c r="K750" s="143"/>
      <c r="L750" s="143"/>
      <c r="M750" s="143"/>
      <c r="N750" s="143"/>
      <c r="O750" s="143"/>
      <c r="P750" s="143"/>
      <c r="Q750" s="143"/>
      <c r="R750" s="143"/>
      <c r="S750" s="143"/>
      <c r="T750" s="143"/>
      <c r="U750" s="143"/>
      <c r="V750" s="143"/>
      <c r="W750" s="143"/>
      <c r="X750" s="143"/>
      <c r="Y750" s="143"/>
      <c r="Z750" s="143"/>
    </row>
    <row r="751" spans="1:26" ht="24.75">
      <c r="A751" s="143"/>
      <c r="B751" s="140"/>
      <c r="C751" s="141"/>
      <c r="D751" s="153"/>
      <c r="E751" s="142"/>
      <c r="F751" s="143"/>
      <c r="G751" s="152"/>
      <c r="H751" s="152"/>
      <c r="I751" s="143"/>
      <c r="J751" s="143"/>
      <c r="K751" s="143"/>
      <c r="L751" s="143"/>
      <c r="M751" s="143"/>
      <c r="N751" s="143"/>
      <c r="O751" s="143"/>
      <c r="P751" s="143"/>
      <c r="Q751" s="143"/>
      <c r="R751" s="143"/>
      <c r="S751" s="143"/>
      <c r="T751" s="143"/>
      <c r="U751" s="143"/>
      <c r="V751" s="143"/>
      <c r="W751" s="143"/>
      <c r="X751" s="143"/>
      <c r="Y751" s="143"/>
      <c r="Z751" s="143"/>
    </row>
    <row r="752" spans="1:26" ht="24.75">
      <c r="A752" s="143"/>
      <c r="B752" s="140"/>
      <c r="C752" s="141"/>
      <c r="D752" s="153"/>
      <c r="E752" s="142"/>
      <c r="F752" s="143"/>
      <c r="G752" s="150"/>
      <c r="H752" s="150"/>
      <c r="I752" s="143"/>
      <c r="J752" s="143"/>
      <c r="K752" s="143"/>
      <c r="L752" s="143"/>
      <c r="M752" s="143"/>
      <c r="N752" s="143"/>
      <c r="O752" s="143"/>
      <c r="P752" s="143"/>
      <c r="Q752" s="143"/>
      <c r="R752" s="143"/>
      <c r="S752" s="143"/>
      <c r="T752" s="143"/>
      <c r="U752" s="143"/>
      <c r="V752" s="143"/>
      <c r="W752" s="143"/>
      <c r="X752" s="143"/>
      <c r="Y752" s="143"/>
      <c r="Z752" s="143"/>
    </row>
    <row r="753" spans="1:26" ht="24.75">
      <c r="A753" s="143"/>
      <c r="B753" s="140"/>
      <c r="C753" s="141"/>
      <c r="D753" s="153"/>
      <c r="E753" s="142"/>
      <c r="F753" s="143"/>
      <c r="G753" s="152"/>
      <c r="H753" s="152"/>
      <c r="I753" s="143"/>
      <c r="J753" s="143"/>
      <c r="K753" s="143"/>
      <c r="L753" s="143"/>
      <c r="M753" s="143"/>
      <c r="N753" s="143"/>
      <c r="O753" s="143"/>
      <c r="P753" s="143"/>
      <c r="Q753" s="143"/>
      <c r="R753" s="143"/>
      <c r="S753" s="143"/>
      <c r="T753" s="143"/>
      <c r="U753" s="143"/>
      <c r="V753" s="143"/>
      <c r="W753" s="143"/>
      <c r="X753" s="143"/>
      <c r="Y753" s="143"/>
      <c r="Z753" s="143"/>
    </row>
    <row r="754" spans="1:26" ht="24.75">
      <c r="A754" s="143"/>
      <c r="B754" s="140"/>
      <c r="C754" s="141"/>
      <c r="D754" s="153"/>
      <c r="E754" s="142"/>
      <c r="F754" s="143"/>
      <c r="G754" s="150"/>
      <c r="H754" s="150"/>
      <c r="I754" s="143"/>
      <c r="J754" s="143"/>
      <c r="K754" s="143"/>
      <c r="L754" s="143"/>
      <c r="M754" s="143"/>
      <c r="N754" s="143"/>
      <c r="O754" s="143"/>
      <c r="P754" s="143"/>
      <c r="Q754" s="143"/>
      <c r="R754" s="143"/>
      <c r="S754" s="143"/>
      <c r="T754" s="143"/>
      <c r="U754" s="143"/>
      <c r="V754" s="143"/>
      <c r="W754" s="143"/>
      <c r="X754" s="143"/>
      <c r="Y754" s="143"/>
      <c r="Z754" s="143"/>
    </row>
    <row r="755" spans="1:26" ht="24.75">
      <c r="A755" s="143"/>
      <c r="B755" s="140"/>
      <c r="C755" s="141"/>
      <c r="D755" s="153"/>
      <c r="E755" s="142"/>
      <c r="F755" s="143"/>
      <c r="G755" s="152"/>
      <c r="H755" s="152"/>
      <c r="I755" s="143"/>
      <c r="J755" s="143"/>
      <c r="K755" s="143"/>
      <c r="L755" s="143"/>
      <c r="M755" s="143"/>
      <c r="N755" s="143"/>
      <c r="O755" s="143"/>
      <c r="P755" s="143"/>
      <c r="Q755" s="143"/>
      <c r="R755" s="143"/>
      <c r="S755" s="143"/>
      <c r="T755" s="143"/>
      <c r="U755" s="143"/>
      <c r="V755" s="143"/>
      <c r="W755" s="143"/>
      <c r="X755" s="143"/>
      <c r="Y755" s="143"/>
      <c r="Z755" s="143"/>
    </row>
    <row r="756" spans="1:26" ht="24.75">
      <c r="A756" s="143"/>
      <c r="B756" s="140"/>
      <c r="C756" s="141"/>
      <c r="D756" s="153"/>
      <c r="E756" s="142"/>
      <c r="F756" s="143"/>
      <c r="G756" s="150"/>
      <c r="H756" s="150"/>
      <c r="I756" s="143"/>
      <c r="J756" s="143"/>
      <c r="K756" s="143"/>
      <c r="L756" s="143"/>
      <c r="M756" s="143"/>
      <c r="N756" s="143"/>
      <c r="O756" s="143"/>
      <c r="P756" s="143"/>
      <c r="Q756" s="143"/>
      <c r="R756" s="143"/>
      <c r="S756" s="143"/>
      <c r="T756" s="143"/>
      <c r="U756" s="143"/>
      <c r="V756" s="143"/>
      <c r="W756" s="143"/>
      <c r="X756" s="143"/>
      <c r="Y756" s="143"/>
      <c r="Z756" s="143"/>
    </row>
    <row r="757" spans="1:26" ht="24.75">
      <c r="A757" s="143"/>
      <c r="B757" s="140"/>
      <c r="C757" s="141"/>
      <c r="D757" s="153"/>
      <c r="E757" s="142"/>
      <c r="F757" s="143"/>
      <c r="G757" s="152"/>
      <c r="H757" s="152"/>
      <c r="I757" s="143"/>
      <c r="J757" s="143"/>
      <c r="K757" s="143"/>
      <c r="L757" s="143"/>
      <c r="M757" s="143"/>
      <c r="N757" s="143"/>
      <c r="O757" s="143"/>
      <c r="P757" s="143"/>
      <c r="Q757" s="143"/>
      <c r="R757" s="143"/>
      <c r="S757" s="143"/>
      <c r="T757" s="143"/>
      <c r="U757" s="143"/>
      <c r="V757" s="143"/>
      <c r="W757" s="143"/>
      <c r="X757" s="143"/>
      <c r="Y757" s="143"/>
      <c r="Z757" s="143"/>
    </row>
    <row r="758" spans="1:26" ht="24.75">
      <c r="A758" s="143"/>
      <c r="B758" s="140"/>
      <c r="C758" s="141"/>
      <c r="D758" s="153"/>
      <c r="E758" s="142"/>
      <c r="F758" s="143"/>
      <c r="G758" s="150"/>
      <c r="H758" s="150"/>
      <c r="I758" s="143"/>
      <c r="J758" s="143"/>
      <c r="K758" s="143"/>
      <c r="L758" s="143"/>
      <c r="M758" s="143"/>
      <c r="N758" s="143"/>
      <c r="O758" s="143"/>
      <c r="P758" s="143"/>
      <c r="Q758" s="143"/>
      <c r="R758" s="143"/>
      <c r="S758" s="143"/>
      <c r="T758" s="143"/>
      <c r="U758" s="143"/>
      <c r="V758" s="143"/>
      <c r="W758" s="143"/>
      <c r="X758" s="143"/>
      <c r="Y758" s="143"/>
      <c r="Z758" s="143"/>
    </row>
    <row r="759" spans="1:26" ht="24.75">
      <c r="A759" s="143"/>
      <c r="B759" s="140"/>
      <c r="C759" s="141"/>
      <c r="D759" s="153"/>
      <c r="E759" s="142"/>
      <c r="F759" s="143"/>
      <c r="G759" s="152"/>
      <c r="H759" s="152"/>
      <c r="I759" s="143"/>
      <c r="J759" s="143"/>
      <c r="K759" s="143"/>
      <c r="L759" s="143"/>
      <c r="M759" s="143"/>
      <c r="N759" s="143"/>
      <c r="O759" s="143"/>
      <c r="P759" s="143"/>
      <c r="Q759" s="143"/>
      <c r="R759" s="143"/>
      <c r="S759" s="143"/>
      <c r="T759" s="143"/>
      <c r="U759" s="143"/>
      <c r="V759" s="143"/>
      <c r="W759" s="143"/>
      <c r="X759" s="143"/>
      <c r="Y759" s="143"/>
      <c r="Z759" s="143"/>
    </row>
    <row r="760" spans="1:26" ht="24.75">
      <c r="A760" s="143"/>
      <c r="B760" s="140"/>
      <c r="C760" s="141"/>
      <c r="D760" s="153"/>
      <c r="E760" s="142"/>
      <c r="F760" s="143"/>
      <c r="G760" s="150"/>
      <c r="H760" s="150"/>
      <c r="I760" s="143"/>
      <c r="J760" s="143"/>
      <c r="K760" s="143"/>
      <c r="L760" s="143"/>
      <c r="M760" s="143"/>
      <c r="N760" s="143"/>
      <c r="O760" s="143"/>
      <c r="P760" s="143"/>
      <c r="Q760" s="143"/>
      <c r="R760" s="143"/>
      <c r="S760" s="143"/>
      <c r="T760" s="143"/>
      <c r="U760" s="143"/>
      <c r="V760" s="143"/>
      <c r="W760" s="143"/>
      <c r="X760" s="143"/>
      <c r="Y760" s="143"/>
      <c r="Z760" s="143"/>
    </row>
    <row r="761" spans="1:26" ht="24.75">
      <c r="A761" s="143"/>
      <c r="B761" s="140"/>
      <c r="C761" s="141"/>
      <c r="D761" s="153"/>
      <c r="E761" s="142"/>
      <c r="F761" s="143"/>
      <c r="G761" s="152"/>
      <c r="H761" s="152"/>
      <c r="I761" s="143"/>
      <c r="J761" s="143"/>
      <c r="K761" s="143"/>
      <c r="L761" s="143"/>
      <c r="M761" s="143"/>
      <c r="N761" s="143"/>
      <c r="O761" s="143"/>
      <c r="P761" s="143"/>
      <c r="Q761" s="143"/>
      <c r="R761" s="143"/>
      <c r="S761" s="143"/>
      <c r="T761" s="143"/>
      <c r="U761" s="143"/>
      <c r="V761" s="143"/>
      <c r="W761" s="143"/>
      <c r="X761" s="143"/>
      <c r="Y761" s="143"/>
      <c r="Z761" s="143"/>
    </row>
    <row r="762" spans="1:26" ht="24.75">
      <c r="A762" s="143"/>
      <c r="B762" s="140"/>
      <c r="C762" s="141"/>
      <c r="D762" s="153"/>
      <c r="E762" s="142"/>
      <c r="F762" s="143"/>
      <c r="G762" s="150"/>
      <c r="H762" s="150"/>
      <c r="I762" s="143"/>
      <c r="J762" s="143"/>
      <c r="K762" s="143"/>
      <c r="L762" s="143"/>
      <c r="M762" s="143"/>
      <c r="N762" s="143"/>
      <c r="O762" s="143"/>
      <c r="P762" s="143"/>
      <c r="Q762" s="143"/>
      <c r="R762" s="143"/>
      <c r="S762" s="143"/>
      <c r="T762" s="143"/>
      <c r="U762" s="143"/>
      <c r="V762" s="143"/>
      <c r="W762" s="143"/>
      <c r="X762" s="143"/>
      <c r="Y762" s="143"/>
      <c r="Z762" s="143"/>
    </row>
    <row r="763" spans="1:26" ht="24.75">
      <c r="A763" s="143"/>
      <c r="B763" s="140"/>
      <c r="C763" s="141"/>
      <c r="D763" s="153"/>
      <c r="E763" s="142"/>
      <c r="F763" s="143"/>
      <c r="G763" s="152"/>
      <c r="H763" s="152"/>
      <c r="I763" s="143"/>
      <c r="J763" s="143"/>
      <c r="K763" s="143"/>
      <c r="L763" s="143"/>
      <c r="M763" s="143"/>
      <c r="N763" s="143"/>
      <c r="O763" s="143"/>
      <c r="P763" s="143"/>
      <c r="Q763" s="143"/>
      <c r="R763" s="143"/>
      <c r="S763" s="143"/>
      <c r="T763" s="143"/>
      <c r="U763" s="143"/>
      <c r="V763" s="143"/>
      <c r="W763" s="143"/>
      <c r="X763" s="143"/>
      <c r="Y763" s="143"/>
      <c r="Z763" s="143"/>
    </row>
    <row r="764" spans="1:26" ht="24.75">
      <c r="A764" s="143"/>
      <c r="B764" s="140"/>
      <c r="C764" s="141"/>
      <c r="D764" s="153"/>
      <c r="E764" s="142"/>
      <c r="F764" s="143"/>
      <c r="G764" s="150"/>
      <c r="H764" s="150"/>
      <c r="I764" s="143"/>
      <c r="J764" s="143"/>
      <c r="K764" s="143"/>
      <c r="L764" s="143"/>
      <c r="M764" s="143"/>
      <c r="N764" s="143"/>
      <c r="O764" s="143"/>
      <c r="P764" s="143"/>
      <c r="Q764" s="143"/>
      <c r="R764" s="143"/>
      <c r="S764" s="143"/>
      <c r="T764" s="143"/>
      <c r="U764" s="143"/>
      <c r="V764" s="143"/>
      <c r="W764" s="143"/>
      <c r="X764" s="143"/>
      <c r="Y764" s="143"/>
      <c r="Z764" s="143"/>
    </row>
    <row r="765" spans="1:26" ht="24.75">
      <c r="A765" s="143"/>
      <c r="B765" s="140"/>
      <c r="C765" s="141"/>
      <c r="D765" s="153"/>
      <c r="E765" s="142"/>
      <c r="F765" s="143"/>
      <c r="G765" s="152"/>
      <c r="H765" s="152"/>
      <c r="I765" s="143"/>
      <c r="J765" s="143"/>
      <c r="K765" s="143"/>
      <c r="L765" s="143"/>
      <c r="M765" s="143"/>
      <c r="N765" s="143"/>
      <c r="O765" s="143"/>
      <c r="P765" s="143"/>
      <c r="Q765" s="143"/>
      <c r="R765" s="143"/>
      <c r="S765" s="143"/>
      <c r="T765" s="143"/>
      <c r="U765" s="143"/>
      <c r="V765" s="143"/>
      <c r="W765" s="143"/>
      <c r="X765" s="143"/>
      <c r="Y765" s="143"/>
      <c r="Z765" s="143"/>
    </row>
    <row r="766" spans="1:26" ht="24.75">
      <c r="A766" s="143"/>
      <c r="B766" s="140"/>
      <c r="C766" s="141"/>
      <c r="D766" s="153"/>
      <c r="E766" s="142"/>
      <c r="F766" s="143"/>
      <c r="G766" s="150"/>
      <c r="H766" s="150"/>
      <c r="I766" s="143"/>
      <c r="J766" s="143"/>
      <c r="K766" s="143"/>
      <c r="L766" s="143"/>
      <c r="M766" s="143"/>
      <c r="N766" s="143"/>
      <c r="O766" s="143"/>
      <c r="P766" s="143"/>
      <c r="Q766" s="143"/>
      <c r="R766" s="143"/>
      <c r="S766" s="143"/>
      <c r="T766" s="143"/>
      <c r="U766" s="143"/>
      <c r="V766" s="143"/>
      <c r="W766" s="143"/>
      <c r="X766" s="143"/>
      <c r="Y766" s="143"/>
      <c r="Z766" s="143"/>
    </row>
    <row r="767" spans="1:26" ht="24.75">
      <c r="A767" s="143"/>
      <c r="B767" s="140"/>
      <c r="C767" s="141"/>
      <c r="D767" s="153"/>
      <c r="E767" s="142"/>
      <c r="F767" s="143"/>
      <c r="G767" s="152"/>
      <c r="H767" s="152"/>
      <c r="I767" s="143"/>
      <c r="J767" s="143"/>
      <c r="K767" s="143"/>
      <c r="L767" s="143"/>
      <c r="M767" s="143"/>
      <c r="N767" s="143"/>
      <c r="O767" s="143"/>
      <c r="P767" s="143"/>
      <c r="Q767" s="143"/>
      <c r="R767" s="143"/>
      <c r="S767" s="143"/>
      <c r="T767" s="143"/>
      <c r="U767" s="143"/>
      <c r="V767" s="143"/>
      <c r="W767" s="143"/>
      <c r="X767" s="143"/>
      <c r="Y767" s="143"/>
      <c r="Z767" s="143"/>
    </row>
    <row r="768" spans="1:26" ht="24.75">
      <c r="A768" s="143"/>
      <c r="B768" s="140"/>
      <c r="C768" s="141"/>
      <c r="D768" s="153"/>
      <c r="E768" s="142"/>
      <c r="F768" s="143"/>
      <c r="G768" s="150"/>
      <c r="H768" s="150"/>
      <c r="I768" s="143"/>
      <c r="J768" s="143"/>
      <c r="K768" s="143"/>
      <c r="L768" s="143"/>
      <c r="M768" s="143"/>
      <c r="N768" s="143"/>
      <c r="O768" s="143"/>
      <c r="P768" s="143"/>
      <c r="Q768" s="143"/>
      <c r="R768" s="143"/>
      <c r="S768" s="143"/>
      <c r="T768" s="143"/>
      <c r="U768" s="143"/>
      <c r="V768" s="143"/>
      <c r="W768" s="143"/>
      <c r="X768" s="143"/>
      <c r="Y768" s="143"/>
      <c r="Z768" s="143"/>
    </row>
    <row r="769" spans="1:26" ht="24.75">
      <c r="A769" s="143"/>
      <c r="B769" s="140"/>
      <c r="C769" s="141"/>
      <c r="D769" s="153"/>
      <c r="E769" s="142"/>
      <c r="F769" s="143"/>
      <c r="G769" s="152"/>
      <c r="H769" s="152"/>
      <c r="I769" s="143"/>
      <c r="J769" s="143"/>
      <c r="K769" s="143"/>
      <c r="L769" s="143"/>
      <c r="M769" s="143"/>
      <c r="N769" s="143"/>
      <c r="O769" s="143"/>
      <c r="P769" s="143"/>
      <c r="Q769" s="143"/>
      <c r="R769" s="143"/>
      <c r="S769" s="143"/>
      <c r="T769" s="143"/>
      <c r="U769" s="143"/>
      <c r="V769" s="143"/>
      <c r="W769" s="143"/>
      <c r="X769" s="143"/>
      <c r="Y769" s="143"/>
      <c r="Z769" s="143"/>
    </row>
    <row r="770" spans="1:26" ht="24.75">
      <c r="A770" s="143"/>
      <c r="B770" s="140"/>
      <c r="C770" s="141"/>
      <c r="D770" s="153"/>
      <c r="E770" s="142"/>
      <c r="F770" s="143"/>
      <c r="G770" s="150"/>
      <c r="H770" s="150"/>
      <c r="I770" s="143"/>
      <c r="J770" s="143"/>
      <c r="K770" s="143"/>
      <c r="L770" s="143"/>
      <c r="M770" s="143"/>
      <c r="N770" s="143"/>
      <c r="O770" s="143"/>
      <c r="P770" s="143"/>
      <c r="Q770" s="143"/>
      <c r="R770" s="143"/>
      <c r="S770" s="143"/>
      <c r="T770" s="143"/>
      <c r="U770" s="143"/>
      <c r="V770" s="143"/>
      <c r="W770" s="143"/>
      <c r="X770" s="143"/>
      <c r="Y770" s="143"/>
      <c r="Z770" s="143"/>
    </row>
    <row r="771" spans="1:26" ht="24.75">
      <c r="A771" s="143"/>
      <c r="B771" s="140"/>
      <c r="C771" s="141"/>
      <c r="D771" s="153"/>
      <c r="E771" s="142"/>
      <c r="F771" s="143"/>
      <c r="G771" s="152"/>
      <c r="H771" s="152"/>
      <c r="I771" s="143"/>
      <c r="J771" s="143"/>
      <c r="K771" s="143"/>
      <c r="L771" s="143"/>
      <c r="M771" s="143"/>
      <c r="N771" s="143"/>
      <c r="O771" s="143"/>
      <c r="P771" s="143"/>
      <c r="Q771" s="143"/>
      <c r="R771" s="143"/>
      <c r="S771" s="143"/>
      <c r="T771" s="143"/>
      <c r="U771" s="143"/>
      <c r="V771" s="143"/>
      <c r="W771" s="143"/>
      <c r="X771" s="143"/>
      <c r="Y771" s="143"/>
      <c r="Z771" s="143"/>
    </row>
    <row r="772" spans="1:26" ht="24.75">
      <c r="A772" s="143"/>
      <c r="B772" s="140"/>
      <c r="C772" s="141"/>
      <c r="D772" s="153"/>
      <c r="E772" s="142"/>
      <c r="F772" s="143"/>
      <c r="G772" s="150"/>
      <c r="H772" s="150"/>
      <c r="I772" s="143"/>
      <c r="J772" s="143"/>
      <c r="K772" s="143"/>
      <c r="L772" s="143"/>
      <c r="M772" s="143"/>
      <c r="N772" s="143"/>
      <c r="O772" s="143"/>
      <c r="P772" s="143"/>
      <c r="Q772" s="143"/>
      <c r="R772" s="143"/>
      <c r="S772" s="143"/>
      <c r="T772" s="143"/>
      <c r="U772" s="143"/>
      <c r="V772" s="143"/>
      <c r="W772" s="143"/>
      <c r="X772" s="143"/>
      <c r="Y772" s="143"/>
      <c r="Z772" s="143"/>
    </row>
    <row r="773" spans="1:26" ht="24.75">
      <c r="A773" s="143"/>
      <c r="B773" s="140"/>
      <c r="C773" s="141"/>
      <c r="D773" s="153"/>
      <c r="E773" s="142"/>
      <c r="F773" s="143"/>
      <c r="G773" s="152"/>
      <c r="H773" s="152"/>
      <c r="I773" s="143"/>
      <c r="J773" s="143"/>
      <c r="K773" s="143"/>
      <c r="L773" s="143"/>
      <c r="M773" s="143"/>
      <c r="N773" s="143"/>
      <c r="O773" s="143"/>
      <c r="P773" s="143"/>
      <c r="Q773" s="143"/>
      <c r="R773" s="143"/>
      <c r="S773" s="143"/>
      <c r="T773" s="143"/>
      <c r="U773" s="143"/>
      <c r="V773" s="143"/>
      <c r="W773" s="143"/>
      <c r="X773" s="143"/>
      <c r="Y773" s="143"/>
      <c r="Z773" s="143"/>
    </row>
    <row r="774" spans="1:26" ht="24.75">
      <c r="A774" s="143"/>
      <c r="B774" s="140"/>
      <c r="C774" s="141"/>
      <c r="D774" s="153"/>
      <c r="E774" s="142"/>
      <c r="F774" s="143"/>
      <c r="G774" s="150"/>
      <c r="H774" s="150"/>
      <c r="I774" s="143"/>
      <c r="J774" s="143"/>
      <c r="K774" s="143"/>
      <c r="L774" s="143"/>
      <c r="M774" s="143"/>
      <c r="N774" s="143"/>
      <c r="O774" s="143"/>
      <c r="P774" s="143"/>
      <c r="Q774" s="143"/>
      <c r="R774" s="143"/>
      <c r="S774" s="143"/>
      <c r="T774" s="143"/>
      <c r="U774" s="143"/>
      <c r="V774" s="143"/>
      <c r="W774" s="143"/>
      <c r="X774" s="143"/>
      <c r="Y774" s="143"/>
      <c r="Z774" s="143"/>
    </row>
    <row r="775" spans="1:26" ht="24.75">
      <c r="A775" s="143"/>
      <c r="B775" s="140"/>
      <c r="C775" s="141"/>
      <c r="D775" s="153"/>
      <c r="E775" s="142"/>
      <c r="F775" s="143"/>
      <c r="G775" s="152"/>
      <c r="H775" s="152"/>
      <c r="I775" s="143"/>
      <c r="J775" s="143"/>
      <c r="K775" s="143"/>
      <c r="L775" s="143"/>
      <c r="M775" s="143"/>
      <c r="N775" s="143"/>
      <c r="O775" s="143"/>
      <c r="P775" s="143"/>
      <c r="Q775" s="143"/>
      <c r="R775" s="143"/>
      <c r="S775" s="143"/>
      <c r="T775" s="143"/>
      <c r="U775" s="143"/>
      <c r="V775" s="143"/>
      <c r="W775" s="143"/>
      <c r="X775" s="143"/>
      <c r="Y775" s="143"/>
      <c r="Z775" s="143"/>
    </row>
    <row r="776" spans="1:26" ht="24.75">
      <c r="A776" s="143"/>
      <c r="B776" s="140"/>
      <c r="C776" s="141"/>
      <c r="D776" s="153"/>
      <c r="E776" s="142"/>
      <c r="F776" s="143"/>
      <c r="G776" s="150"/>
      <c r="H776" s="150"/>
      <c r="I776" s="143"/>
      <c r="J776" s="143"/>
      <c r="K776" s="143"/>
      <c r="L776" s="143"/>
      <c r="M776" s="143"/>
      <c r="N776" s="143"/>
      <c r="O776" s="143"/>
      <c r="P776" s="143"/>
      <c r="Q776" s="143"/>
      <c r="R776" s="143"/>
      <c r="S776" s="143"/>
      <c r="T776" s="143"/>
      <c r="U776" s="143"/>
      <c r="V776" s="143"/>
      <c r="W776" s="143"/>
      <c r="X776" s="143"/>
      <c r="Y776" s="143"/>
      <c r="Z776" s="143"/>
    </row>
    <row r="777" spans="1:26" ht="24.75">
      <c r="A777" s="143"/>
      <c r="B777" s="140"/>
      <c r="C777" s="141"/>
      <c r="D777" s="153"/>
      <c r="E777" s="142"/>
      <c r="F777" s="143"/>
      <c r="G777" s="152"/>
      <c r="H777" s="152"/>
      <c r="I777" s="143"/>
      <c r="J777" s="143"/>
      <c r="K777" s="143"/>
      <c r="L777" s="143"/>
      <c r="M777" s="143"/>
      <c r="N777" s="143"/>
      <c r="O777" s="143"/>
      <c r="P777" s="143"/>
      <c r="Q777" s="143"/>
      <c r="R777" s="143"/>
      <c r="S777" s="143"/>
      <c r="T777" s="143"/>
      <c r="U777" s="143"/>
      <c r="V777" s="143"/>
      <c r="W777" s="143"/>
      <c r="X777" s="143"/>
      <c r="Y777" s="143"/>
      <c r="Z777" s="143"/>
    </row>
    <row r="778" spans="1:26" ht="24.75">
      <c r="A778" s="143"/>
      <c r="B778" s="140"/>
      <c r="C778" s="141"/>
      <c r="D778" s="153"/>
      <c r="E778" s="142"/>
      <c r="F778" s="143"/>
      <c r="G778" s="150"/>
      <c r="H778" s="150"/>
      <c r="I778" s="143"/>
      <c r="J778" s="143"/>
      <c r="K778" s="143"/>
      <c r="L778" s="143"/>
      <c r="M778" s="143"/>
      <c r="N778" s="143"/>
      <c r="O778" s="143"/>
      <c r="P778" s="143"/>
      <c r="Q778" s="143"/>
      <c r="R778" s="143"/>
      <c r="S778" s="143"/>
      <c r="T778" s="143"/>
      <c r="U778" s="143"/>
      <c r="V778" s="143"/>
      <c r="W778" s="143"/>
      <c r="X778" s="143"/>
      <c r="Y778" s="143"/>
      <c r="Z778" s="143"/>
    </row>
    <row r="779" spans="1:26" ht="24.75">
      <c r="A779" s="143"/>
      <c r="B779" s="140"/>
      <c r="C779" s="141"/>
      <c r="D779" s="153"/>
      <c r="E779" s="142"/>
      <c r="F779" s="143"/>
      <c r="G779" s="152"/>
      <c r="H779" s="152"/>
      <c r="I779" s="143"/>
      <c r="J779" s="143"/>
      <c r="K779" s="143"/>
      <c r="L779" s="143"/>
      <c r="M779" s="143"/>
      <c r="N779" s="143"/>
      <c r="O779" s="143"/>
      <c r="P779" s="143"/>
      <c r="Q779" s="143"/>
      <c r="R779" s="143"/>
      <c r="S779" s="143"/>
      <c r="T779" s="143"/>
      <c r="U779" s="143"/>
      <c r="V779" s="143"/>
      <c r="W779" s="143"/>
      <c r="X779" s="143"/>
      <c r="Y779" s="143"/>
      <c r="Z779" s="143"/>
    </row>
    <row r="780" spans="1:26" ht="24.75">
      <c r="A780" s="143"/>
      <c r="B780" s="140"/>
      <c r="C780" s="141"/>
      <c r="D780" s="153"/>
      <c r="E780" s="142"/>
      <c r="F780" s="143"/>
      <c r="G780" s="150"/>
      <c r="H780" s="150"/>
      <c r="I780" s="143"/>
      <c r="J780" s="143"/>
      <c r="K780" s="143"/>
      <c r="L780" s="143"/>
      <c r="M780" s="143"/>
      <c r="N780" s="143"/>
      <c r="O780" s="143"/>
      <c r="P780" s="143"/>
      <c r="Q780" s="143"/>
      <c r="R780" s="143"/>
      <c r="S780" s="143"/>
      <c r="T780" s="143"/>
      <c r="U780" s="143"/>
      <c r="V780" s="143"/>
      <c r="W780" s="143"/>
      <c r="X780" s="143"/>
      <c r="Y780" s="143"/>
      <c r="Z780" s="143"/>
    </row>
    <row r="781" spans="1:26" ht="24.75">
      <c r="A781" s="143"/>
      <c r="B781" s="140"/>
      <c r="C781" s="141"/>
      <c r="D781" s="153"/>
      <c r="E781" s="142"/>
      <c r="F781" s="143"/>
      <c r="G781" s="152"/>
      <c r="H781" s="152"/>
      <c r="I781" s="143"/>
      <c r="J781" s="143"/>
      <c r="K781" s="143"/>
      <c r="L781" s="143"/>
      <c r="M781" s="143"/>
      <c r="N781" s="143"/>
      <c r="O781" s="143"/>
      <c r="P781" s="143"/>
      <c r="Q781" s="143"/>
      <c r="R781" s="143"/>
      <c r="S781" s="143"/>
      <c r="T781" s="143"/>
      <c r="U781" s="143"/>
      <c r="V781" s="143"/>
      <c r="W781" s="143"/>
      <c r="X781" s="143"/>
      <c r="Y781" s="143"/>
      <c r="Z781" s="143"/>
    </row>
    <row r="782" spans="1:26" ht="24.75">
      <c r="A782" s="143"/>
      <c r="B782" s="140"/>
      <c r="C782" s="141"/>
      <c r="D782" s="153"/>
      <c r="E782" s="142"/>
      <c r="F782" s="143"/>
      <c r="G782" s="150"/>
      <c r="H782" s="150"/>
      <c r="I782" s="143"/>
      <c r="J782" s="143"/>
      <c r="K782" s="143"/>
      <c r="L782" s="143"/>
      <c r="M782" s="143"/>
      <c r="N782" s="143"/>
      <c r="O782" s="143"/>
      <c r="P782" s="143"/>
      <c r="Q782" s="143"/>
      <c r="R782" s="143"/>
      <c r="S782" s="143"/>
      <c r="T782" s="143"/>
      <c r="U782" s="143"/>
      <c r="V782" s="143"/>
      <c r="W782" s="143"/>
      <c r="X782" s="143"/>
      <c r="Y782" s="143"/>
      <c r="Z782" s="143"/>
    </row>
    <row r="783" spans="1:26" ht="24.75">
      <c r="A783" s="143"/>
      <c r="B783" s="140"/>
      <c r="C783" s="141"/>
      <c r="D783" s="153"/>
      <c r="E783" s="142"/>
      <c r="F783" s="143"/>
      <c r="G783" s="152"/>
      <c r="H783" s="152"/>
      <c r="I783" s="143"/>
      <c r="J783" s="143"/>
      <c r="K783" s="143"/>
      <c r="L783" s="143"/>
      <c r="M783" s="143"/>
      <c r="N783" s="143"/>
      <c r="O783" s="143"/>
      <c r="P783" s="143"/>
      <c r="Q783" s="143"/>
      <c r="R783" s="143"/>
      <c r="S783" s="143"/>
      <c r="T783" s="143"/>
      <c r="U783" s="143"/>
      <c r="V783" s="143"/>
      <c r="W783" s="143"/>
      <c r="X783" s="143"/>
      <c r="Y783" s="143"/>
      <c r="Z783" s="143"/>
    </row>
    <row r="784" spans="1:26" ht="24.75">
      <c r="A784" s="143"/>
      <c r="B784" s="140"/>
      <c r="C784" s="141"/>
      <c r="D784" s="153"/>
      <c r="E784" s="142"/>
      <c r="F784" s="143"/>
      <c r="G784" s="150"/>
      <c r="H784" s="150"/>
      <c r="I784" s="143"/>
      <c r="J784" s="143"/>
      <c r="K784" s="143"/>
      <c r="L784" s="143"/>
      <c r="M784" s="143"/>
      <c r="N784" s="143"/>
      <c r="O784" s="143"/>
      <c r="P784" s="143"/>
      <c r="Q784" s="143"/>
      <c r="R784" s="143"/>
      <c r="S784" s="143"/>
      <c r="T784" s="143"/>
      <c r="U784" s="143"/>
      <c r="V784" s="143"/>
      <c r="W784" s="143"/>
      <c r="X784" s="143"/>
      <c r="Y784" s="143"/>
      <c r="Z784" s="143"/>
    </row>
    <row r="785" spans="1:26" ht="24.75">
      <c r="A785" s="143"/>
      <c r="B785" s="140"/>
      <c r="C785" s="141"/>
      <c r="D785" s="153"/>
      <c r="E785" s="142"/>
      <c r="F785" s="143"/>
      <c r="G785" s="152"/>
      <c r="H785" s="152"/>
      <c r="I785" s="143"/>
      <c r="J785" s="143"/>
      <c r="K785" s="143"/>
      <c r="L785" s="143"/>
      <c r="M785" s="143"/>
      <c r="N785" s="143"/>
      <c r="O785" s="143"/>
      <c r="P785" s="143"/>
      <c r="Q785" s="143"/>
      <c r="R785" s="143"/>
      <c r="S785" s="143"/>
      <c r="T785" s="143"/>
      <c r="U785" s="143"/>
      <c r="V785" s="143"/>
      <c r="W785" s="143"/>
      <c r="X785" s="143"/>
      <c r="Y785" s="143"/>
      <c r="Z785" s="143"/>
    </row>
    <row r="786" spans="1:26" ht="24.75">
      <c r="A786" s="143"/>
      <c r="B786" s="140"/>
      <c r="C786" s="141"/>
      <c r="D786" s="153"/>
      <c r="E786" s="142"/>
      <c r="F786" s="143"/>
      <c r="G786" s="150"/>
      <c r="H786" s="150"/>
      <c r="I786" s="143"/>
      <c r="J786" s="143"/>
      <c r="K786" s="143"/>
      <c r="L786" s="143"/>
      <c r="M786" s="143"/>
      <c r="N786" s="143"/>
      <c r="O786" s="143"/>
      <c r="P786" s="143"/>
      <c r="Q786" s="143"/>
      <c r="R786" s="143"/>
      <c r="S786" s="143"/>
      <c r="T786" s="143"/>
      <c r="U786" s="143"/>
      <c r="V786" s="143"/>
      <c r="W786" s="143"/>
      <c r="X786" s="143"/>
      <c r="Y786" s="143"/>
      <c r="Z786" s="143"/>
    </row>
    <row r="787" spans="1:26" ht="24.75">
      <c r="A787" s="143"/>
      <c r="B787" s="140"/>
      <c r="C787" s="141"/>
      <c r="D787" s="153"/>
      <c r="E787" s="142"/>
      <c r="F787" s="143"/>
      <c r="G787" s="152"/>
      <c r="H787" s="152"/>
      <c r="I787" s="143"/>
      <c r="J787" s="143"/>
      <c r="K787" s="143"/>
      <c r="L787" s="143"/>
      <c r="M787" s="143"/>
      <c r="N787" s="143"/>
      <c r="O787" s="143"/>
      <c r="P787" s="143"/>
      <c r="Q787" s="143"/>
      <c r="R787" s="143"/>
      <c r="S787" s="143"/>
      <c r="T787" s="143"/>
      <c r="U787" s="143"/>
      <c r="V787" s="143"/>
      <c r="W787" s="143"/>
      <c r="X787" s="143"/>
      <c r="Y787" s="143"/>
      <c r="Z787" s="143"/>
    </row>
    <row r="788" spans="1:26" ht="24.75">
      <c r="A788" s="143"/>
      <c r="B788" s="140"/>
      <c r="C788" s="141"/>
      <c r="D788" s="153"/>
      <c r="E788" s="142"/>
      <c r="F788" s="143"/>
      <c r="G788" s="150"/>
      <c r="H788" s="150"/>
      <c r="I788" s="143"/>
      <c r="J788" s="143"/>
      <c r="K788" s="143"/>
      <c r="L788" s="143"/>
      <c r="M788" s="143"/>
      <c r="N788" s="143"/>
      <c r="O788" s="143"/>
      <c r="P788" s="143"/>
      <c r="Q788" s="143"/>
      <c r="R788" s="143"/>
      <c r="S788" s="143"/>
      <c r="T788" s="143"/>
      <c r="U788" s="143"/>
      <c r="V788" s="143"/>
      <c r="W788" s="143"/>
      <c r="X788" s="143"/>
      <c r="Y788" s="143"/>
      <c r="Z788" s="143"/>
    </row>
    <row r="789" spans="1:26" ht="24.75">
      <c r="A789" s="143"/>
      <c r="B789" s="140"/>
      <c r="C789" s="141"/>
      <c r="D789" s="153"/>
      <c r="E789" s="142"/>
      <c r="F789" s="143"/>
      <c r="G789" s="152"/>
      <c r="H789" s="152"/>
      <c r="I789" s="143"/>
      <c r="J789" s="143"/>
      <c r="K789" s="143"/>
      <c r="L789" s="143"/>
      <c r="M789" s="143"/>
      <c r="N789" s="143"/>
      <c r="O789" s="143"/>
      <c r="P789" s="143"/>
      <c r="Q789" s="143"/>
      <c r="R789" s="143"/>
      <c r="S789" s="143"/>
      <c r="T789" s="143"/>
      <c r="U789" s="143"/>
      <c r="V789" s="143"/>
      <c r="W789" s="143"/>
      <c r="X789" s="143"/>
      <c r="Y789" s="143"/>
      <c r="Z789" s="143"/>
    </row>
    <row r="790" spans="1:26" ht="24.75">
      <c r="A790" s="143"/>
      <c r="B790" s="140"/>
      <c r="C790" s="141"/>
      <c r="D790" s="153"/>
      <c r="E790" s="142"/>
      <c r="F790" s="143"/>
      <c r="G790" s="150"/>
      <c r="H790" s="150"/>
      <c r="I790" s="143"/>
      <c r="J790" s="143"/>
      <c r="K790" s="143"/>
      <c r="L790" s="143"/>
      <c r="M790" s="143"/>
      <c r="N790" s="143"/>
      <c r="O790" s="143"/>
      <c r="P790" s="143"/>
      <c r="Q790" s="143"/>
      <c r="R790" s="143"/>
      <c r="S790" s="143"/>
      <c r="T790" s="143"/>
      <c r="U790" s="143"/>
      <c r="V790" s="143"/>
      <c r="W790" s="143"/>
      <c r="X790" s="143"/>
      <c r="Y790" s="143"/>
      <c r="Z790" s="143"/>
    </row>
    <row r="791" spans="1:26" ht="24.75">
      <c r="A791" s="143"/>
      <c r="B791" s="140"/>
      <c r="C791" s="141"/>
      <c r="D791" s="153"/>
      <c r="E791" s="142"/>
      <c r="F791" s="143"/>
      <c r="G791" s="152"/>
      <c r="H791" s="152"/>
      <c r="I791" s="143"/>
      <c r="J791" s="143"/>
      <c r="K791" s="143"/>
      <c r="L791" s="143"/>
      <c r="M791" s="143"/>
      <c r="N791" s="143"/>
      <c r="O791" s="143"/>
      <c r="P791" s="143"/>
      <c r="Q791" s="143"/>
      <c r="R791" s="143"/>
      <c r="S791" s="143"/>
      <c r="T791" s="143"/>
      <c r="U791" s="143"/>
      <c r="V791" s="143"/>
      <c r="W791" s="143"/>
      <c r="X791" s="143"/>
      <c r="Y791" s="143"/>
      <c r="Z791" s="143"/>
    </row>
    <row r="792" spans="1:26" ht="24.75">
      <c r="A792" s="143"/>
      <c r="B792" s="140"/>
      <c r="C792" s="141"/>
      <c r="D792" s="153"/>
      <c r="E792" s="142"/>
      <c r="F792" s="143"/>
      <c r="G792" s="150"/>
      <c r="H792" s="150"/>
      <c r="I792" s="143"/>
      <c r="J792" s="143"/>
      <c r="K792" s="143"/>
      <c r="L792" s="143"/>
      <c r="M792" s="143"/>
      <c r="N792" s="143"/>
      <c r="O792" s="143"/>
      <c r="P792" s="143"/>
      <c r="Q792" s="143"/>
      <c r="R792" s="143"/>
      <c r="S792" s="143"/>
      <c r="T792" s="143"/>
      <c r="U792" s="143"/>
      <c r="V792" s="143"/>
      <c r="W792" s="143"/>
      <c r="X792" s="143"/>
      <c r="Y792" s="143"/>
      <c r="Z792" s="143"/>
    </row>
    <row r="793" spans="1:26" ht="24.75">
      <c r="A793" s="143"/>
      <c r="B793" s="140"/>
      <c r="C793" s="141"/>
      <c r="D793" s="153"/>
      <c r="E793" s="142"/>
      <c r="F793" s="143"/>
      <c r="G793" s="152"/>
      <c r="H793" s="152"/>
      <c r="I793" s="143"/>
      <c r="J793" s="143"/>
      <c r="K793" s="143"/>
      <c r="L793" s="143"/>
      <c r="M793" s="143"/>
      <c r="N793" s="143"/>
      <c r="O793" s="143"/>
      <c r="P793" s="143"/>
      <c r="Q793" s="143"/>
      <c r="R793" s="143"/>
      <c r="S793" s="143"/>
      <c r="T793" s="143"/>
      <c r="U793" s="143"/>
      <c r="V793" s="143"/>
      <c r="W793" s="143"/>
      <c r="X793" s="143"/>
      <c r="Y793" s="143"/>
      <c r="Z793" s="143"/>
    </row>
    <row r="794" spans="1:26" ht="24.75">
      <c r="A794" s="143"/>
      <c r="B794" s="140"/>
      <c r="C794" s="141"/>
      <c r="D794" s="153"/>
      <c r="E794" s="142"/>
      <c r="F794" s="143"/>
      <c r="G794" s="150"/>
      <c r="H794" s="150"/>
      <c r="I794" s="143"/>
      <c r="J794" s="143"/>
      <c r="K794" s="143"/>
      <c r="L794" s="143"/>
      <c r="M794" s="143"/>
      <c r="N794" s="143"/>
      <c r="O794" s="143"/>
      <c r="P794" s="143"/>
      <c r="Q794" s="143"/>
      <c r="R794" s="143"/>
      <c r="S794" s="143"/>
      <c r="T794" s="143"/>
      <c r="U794" s="143"/>
      <c r="V794" s="143"/>
      <c r="W794" s="143"/>
      <c r="X794" s="143"/>
      <c r="Y794" s="143"/>
      <c r="Z794" s="143"/>
    </row>
    <row r="795" spans="1:26" ht="24.75">
      <c r="A795" s="143"/>
      <c r="B795" s="140"/>
      <c r="C795" s="141"/>
      <c r="D795" s="153"/>
      <c r="E795" s="142"/>
      <c r="F795" s="143"/>
      <c r="G795" s="152"/>
      <c r="H795" s="152"/>
      <c r="I795" s="143"/>
      <c r="J795" s="143"/>
      <c r="K795" s="143"/>
      <c r="L795" s="143"/>
      <c r="M795" s="143"/>
      <c r="N795" s="143"/>
      <c r="O795" s="143"/>
      <c r="P795" s="143"/>
      <c r="Q795" s="143"/>
      <c r="R795" s="143"/>
      <c r="S795" s="143"/>
      <c r="T795" s="143"/>
      <c r="U795" s="143"/>
      <c r="V795" s="143"/>
      <c r="W795" s="143"/>
      <c r="X795" s="143"/>
      <c r="Y795" s="143"/>
      <c r="Z795" s="143"/>
    </row>
    <row r="796" spans="1:26" ht="24.75">
      <c r="A796" s="143"/>
      <c r="B796" s="140"/>
      <c r="C796" s="141"/>
      <c r="D796" s="153"/>
      <c r="E796" s="142"/>
      <c r="F796" s="143"/>
      <c r="G796" s="150"/>
      <c r="H796" s="150"/>
      <c r="I796" s="143"/>
      <c r="J796" s="143"/>
      <c r="K796" s="143"/>
      <c r="L796" s="143"/>
      <c r="M796" s="143"/>
      <c r="N796" s="143"/>
      <c r="O796" s="143"/>
      <c r="P796" s="143"/>
      <c r="Q796" s="143"/>
      <c r="R796" s="143"/>
      <c r="S796" s="143"/>
      <c r="T796" s="143"/>
      <c r="U796" s="143"/>
      <c r="V796" s="143"/>
      <c r="W796" s="143"/>
      <c r="X796" s="143"/>
      <c r="Y796" s="143"/>
      <c r="Z796" s="143"/>
    </row>
    <row r="797" spans="1:26" ht="24.75">
      <c r="A797" s="143"/>
      <c r="B797" s="140"/>
      <c r="C797" s="141"/>
      <c r="D797" s="153"/>
      <c r="E797" s="142"/>
      <c r="F797" s="143"/>
      <c r="G797" s="152"/>
      <c r="H797" s="152"/>
      <c r="I797" s="143"/>
      <c r="J797" s="143"/>
      <c r="K797" s="143"/>
      <c r="L797" s="143"/>
      <c r="M797" s="143"/>
      <c r="N797" s="143"/>
      <c r="O797" s="143"/>
      <c r="P797" s="143"/>
      <c r="Q797" s="143"/>
      <c r="R797" s="143"/>
      <c r="S797" s="143"/>
      <c r="T797" s="143"/>
      <c r="U797" s="143"/>
      <c r="V797" s="143"/>
      <c r="W797" s="143"/>
      <c r="X797" s="143"/>
      <c r="Y797" s="143"/>
      <c r="Z797" s="143"/>
    </row>
    <row r="798" spans="1:26" ht="24.75">
      <c r="A798" s="143"/>
      <c r="B798" s="140"/>
      <c r="C798" s="141"/>
      <c r="D798" s="153"/>
      <c r="E798" s="142"/>
      <c r="F798" s="143"/>
      <c r="G798" s="150"/>
      <c r="H798" s="150"/>
      <c r="I798" s="143"/>
      <c r="J798" s="143"/>
      <c r="K798" s="143"/>
      <c r="L798" s="143"/>
      <c r="M798" s="143"/>
      <c r="N798" s="143"/>
      <c r="O798" s="143"/>
      <c r="P798" s="143"/>
      <c r="Q798" s="143"/>
      <c r="R798" s="143"/>
      <c r="S798" s="143"/>
      <c r="T798" s="143"/>
      <c r="U798" s="143"/>
      <c r="V798" s="143"/>
      <c r="W798" s="143"/>
      <c r="X798" s="143"/>
      <c r="Y798" s="143"/>
      <c r="Z798" s="143"/>
    </row>
    <row r="799" spans="1:26" ht="24.75">
      <c r="A799" s="143"/>
      <c r="B799" s="140"/>
      <c r="C799" s="141"/>
      <c r="D799" s="153"/>
      <c r="E799" s="142"/>
      <c r="F799" s="143"/>
      <c r="G799" s="152"/>
      <c r="H799" s="152"/>
      <c r="I799" s="143"/>
      <c r="J799" s="143"/>
      <c r="K799" s="143"/>
      <c r="L799" s="143"/>
      <c r="M799" s="143"/>
      <c r="N799" s="143"/>
      <c r="O799" s="143"/>
      <c r="P799" s="143"/>
      <c r="Q799" s="143"/>
      <c r="R799" s="143"/>
      <c r="S799" s="143"/>
      <c r="T799" s="143"/>
      <c r="U799" s="143"/>
      <c r="V799" s="143"/>
      <c r="W799" s="143"/>
      <c r="X799" s="143"/>
      <c r="Y799" s="143"/>
      <c r="Z799" s="143"/>
    </row>
    <row r="800" spans="1:26" ht="24.75">
      <c r="A800" s="143"/>
      <c r="B800" s="140"/>
      <c r="C800" s="141"/>
      <c r="D800" s="153"/>
      <c r="E800" s="142"/>
      <c r="F800" s="143"/>
      <c r="G800" s="150"/>
      <c r="H800" s="150"/>
      <c r="I800" s="143"/>
      <c r="J800" s="143"/>
      <c r="K800" s="143"/>
      <c r="L800" s="143"/>
      <c r="M800" s="143"/>
      <c r="N800" s="143"/>
      <c r="O800" s="143"/>
      <c r="P800" s="143"/>
      <c r="Q800" s="143"/>
      <c r="R800" s="143"/>
      <c r="S800" s="143"/>
      <c r="T800" s="143"/>
      <c r="U800" s="143"/>
      <c r="V800" s="143"/>
      <c r="W800" s="143"/>
      <c r="X800" s="143"/>
      <c r="Y800" s="143"/>
      <c r="Z800" s="143"/>
    </row>
    <row r="801" spans="1:26" ht="24.75">
      <c r="A801" s="143"/>
      <c r="B801" s="140"/>
      <c r="C801" s="141"/>
      <c r="D801" s="153"/>
      <c r="E801" s="142"/>
      <c r="F801" s="143"/>
      <c r="G801" s="152"/>
      <c r="H801" s="152"/>
      <c r="I801" s="143"/>
      <c r="J801" s="143"/>
      <c r="K801" s="143"/>
      <c r="L801" s="143"/>
      <c r="M801" s="143"/>
      <c r="N801" s="143"/>
      <c r="O801" s="143"/>
      <c r="P801" s="143"/>
      <c r="Q801" s="143"/>
      <c r="R801" s="143"/>
      <c r="S801" s="143"/>
      <c r="T801" s="143"/>
      <c r="U801" s="143"/>
      <c r="V801" s="143"/>
      <c r="W801" s="143"/>
      <c r="X801" s="143"/>
      <c r="Y801" s="143"/>
      <c r="Z801" s="143"/>
    </row>
    <row r="802" spans="1:26" ht="24.75">
      <c r="A802" s="143"/>
      <c r="B802" s="140"/>
      <c r="C802" s="141"/>
      <c r="D802" s="153"/>
      <c r="E802" s="142"/>
      <c r="F802" s="143"/>
      <c r="G802" s="150"/>
      <c r="H802" s="150"/>
      <c r="I802" s="143"/>
      <c r="J802" s="143"/>
      <c r="K802" s="143"/>
      <c r="L802" s="143"/>
      <c r="M802" s="143"/>
      <c r="N802" s="143"/>
      <c r="O802" s="143"/>
      <c r="P802" s="143"/>
      <c r="Q802" s="143"/>
      <c r="R802" s="143"/>
      <c r="S802" s="143"/>
      <c r="T802" s="143"/>
      <c r="U802" s="143"/>
      <c r="V802" s="143"/>
      <c r="W802" s="143"/>
      <c r="X802" s="143"/>
      <c r="Y802" s="143"/>
      <c r="Z802" s="143"/>
    </row>
    <row r="803" spans="1:26" ht="24.75">
      <c r="A803" s="143"/>
      <c r="B803" s="140"/>
      <c r="C803" s="141"/>
      <c r="D803" s="153"/>
      <c r="E803" s="142"/>
      <c r="F803" s="143"/>
      <c r="G803" s="152"/>
      <c r="H803" s="152"/>
      <c r="I803" s="143"/>
      <c r="J803" s="143"/>
      <c r="K803" s="143"/>
      <c r="L803" s="143"/>
      <c r="M803" s="143"/>
      <c r="N803" s="143"/>
      <c r="O803" s="143"/>
      <c r="P803" s="143"/>
      <c r="Q803" s="143"/>
      <c r="R803" s="143"/>
      <c r="S803" s="143"/>
      <c r="T803" s="143"/>
      <c r="U803" s="143"/>
      <c r="V803" s="143"/>
      <c r="W803" s="143"/>
      <c r="X803" s="143"/>
      <c r="Y803" s="143"/>
      <c r="Z803" s="143"/>
    </row>
    <row r="804" spans="1:26" ht="24.75">
      <c r="A804" s="143"/>
      <c r="B804" s="140"/>
      <c r="C804" s="141"/>
      <c r="D804" s="153"/>
      <c r="E804" s="142"/>
      <c r="F804" s="143"/>
      <c r="G804" s="150"/>
      <c r="H804" s="150"/>
      <c r="I804" s="143"/>
      <c r="J804" s="143"/>
      <c r="K804" s="143"/>
      <c r="L804" s="143"/>
      <c r="M804" s="143"/>
      <c r="N804" s="143"/>
      <c r="O804" s="143"/>
      <c r="P804" s="143"/>
      <c r="Q804" s="143"/>
      <c r="R804" s="143"/>
      <c r="S804" s="143"/>
      <c r="T804" s="143"/>
      <c r="U804" s="143"/>
      <c r="V804" s="143"/>
      <c r="W804" s="143"/>
      <c r="X804" s="143"/>
      <c r="Y804" s="143"/>
      <c r="Z804" s="143"/>
    </row>
    <row r="805" spans="1:26" ht="24.75">
      <c r="A805" s="143"/>
      <c r="B805" s="140"/>
      <c r="C805" s="141"/>
      <c r="D805" s="153"/>
      <c r="E805" s="142"/>
      <c r="F805" s="143"/>
      <c r="G805" s="152"/>
      <c r="H805" s="152"/>
      <c r="I805" s="143"/>
      <c r="J805" s="143"/>
      <c r="K805" s="143"/>
      <c r="L805" s="143"/>
      <c r="M805" s="143"/>
      <c r="N805" s="143"/>
      <c r="O805" s="143"/>
      <c r="P805" s="143"/>
      <c r="Q805" s="143"/>
      <c r="R805" s="143"/>
      <c r="S805" s="143"/>
      <c r="T805" s="143"/>
      <c r="U805" s="143"/>
      <c r="V805" s="143"/>
      <c r="W805" s="143"/>
      <c r="X805" s="143"/>
      <c r="Y805" s="143"/>
      <c r="Z805" s="143"/>
    </row>
    <row r="806" spans="1:26" ht="24.75">
      <c r="A806" s="143"/>
      <c r="B806" s="140"/>
      <c r="C806" s="141"/>
      <c r="D806" s="153"/>
      <c r="E806" s="142"/>
      <c r="F806" s="143"/>
      <c r="G806" s="150"/>
      <c r="H806" s="150"/>
      <c r="I806" s="143"/>
      <c r="J806" s="143"/>
      <c r="K806" s="143"/>
      <c r="L806" s="143"/>
      <c r="M806" s="143"/>
      <c r="N806" s="143"/>
      <c r="O806" s="143"/>
      <c r="P806" s="143"/>
      <c r="Q806" s="143"/>
      <c r="R806" s="143"/>
      <c r="S806" s="143"/>
      <c r="T806" s="143"/>
      <c r="U806" s="143"/>
      <c r="V806" s="143"/>
      <c r="W806" s="143"/>
      <c r="X806" s="143"/>
      <c r="Y806" s="143"/>
      <c r="Z806" s="143"/>
    </row>
    <row r="807" spans="1:26" ht="24.75">
      <c r="A807" s="143"/>
      <c r="B807" s="140"/>
      <c r="C807" s="141"/>
      <c r="D807" s="153"/>
      <c r="E807" s="142"/>
      <c r="F807" s="143"/>
      <c r="G807" s="152"/>
      <c r="H807" s="152"/>
      <c r="I807" s="143"/>
      <c r="J807" s="143"/>
      <c r="K807" s="143"/>
      <c r="L807" s="143"/>
      <c r="M807" s="143"/>
      <c r="N807" s="143"/>
      <c r="O807" s="143"/>
      <c r="P807" s="143"/>
      <c r="Q807" s="143"/>
      <c r="R807" s="143"/>
      <c r="S807" s="143"/>
      <c r="T807" s="143"/>
      <c r="U807" s="143"/>
      <c r="V807" s="143"/>
      <c r="W807" s="143"/>
      <c r="X807" s="143"/>
      <c r="Y807" s="143"/>
      <c r="Z807" s="143"/>
    </row>
    <row r="808" spans="1:26" ht="24.75">
      <c r="A808" s="143"/>
      <c r="B808" s="140"/>
      <c r="C808" s="141"/>
      <c r="D808" s="153"/>
      <c r="E808" s="142"/>
      <c r="F808" s="143"/>
      <c r="G808" s="150"/>
      <c r="H808" s="150"/>
      <c r="I808" s="143"/>
      <c r="J808" s="143"/>
      <c r="K808" s="143"/>
      <c r="L808" s="143"/>
      <c r="M808" s="143"/>
      <c r="N808" s="143"/>
      <c r="O808" s="143"/>
      <c r="P808" s="143"/>
      <c r="Q808" s="143"/>
      <c r="R808" s="143"/>
      <c r="S808" s="143"/>
      <c r="T808" s="143"/>
      <c r="U808" s="143"/>
      <c r="V808" s="143"/>
      <c r="W808" s="143"/>
      <c r="X808" s="143"/>
      <c r="Y808" s="143"/>
      <c r="Z808" s="143"/>
    </row>
    <row r="809" spans="1:26" ht="24.75">
      <c r="A809" s="143"/>
      <c r="B809" s="140"/>
      <c r="C809" s="141"/>
      <c r="D809" s="153"/>
      <c r="E809" s="142"/>
      <c r="F809" s="143"/>
      <c r="G809" s="152"/>
      <c r="H809" s="152"/>
      <c r="I809" s="143"/>
      <c r="J809" s="143"/>
      <c r="K809" s="143"/>
      <c r="L809" s="143"/>
      <c r="M809" s="143"/>
      <c r="N809" s="143"/>
      <c r="O809" s="143"/>
      <c r="P809" s="143"/>
      <c r="Q809" s="143"/>
      <c r="R809" s="143"/>
      <c r="S809" s="143"/>
      <c r="T809" s="143"/>
      <c r="U809" s="143"/>
      <c r="V809" s="143"/>
      <c r="W809" s="143"/>
      <c r="X809" s="143"/>
      <c r="Y809" s="143"/>
      <c r="Z809" s="143"/>
    </row>
    <row r="810" spans="1:26" ht="24.75">
      <c r="A810" s="143"/>
      <c r="B810" s="140"/>
      <c r="C810" s="141"/>
      <c r="D810" s="153"/>
      <c r="E810" s="142"/>
      <c r="F810" s="143"/>
      <c r="G810" s="150"/>
      <c r="H810" s="150"/>
      <c r="I810" s="143"/>
      <c r="J810" s="143"/>
      <c r="K810" s="143"/>
      <c r="L810" s="143"/>
      <c r="M810" s="143"/>
      <c r="N810" s="143"/>
      <c r="O810" s="143"/>
      <c r="P810" s="143"/>
      <c r="Q810" s="143"/>
      <c r="R810" s="143"/>
      <c r="S810" s="143"/>
      <c r="T810" s="143"/>
      <c r="U810" s="143"/>
      <c r="V810" s="143"/>
      <c r="W810" s="143"/>
      <c r="X810" s="143"/>
      <c r="Y810" s="143"/>
      <c r="Z810" s="143"/>
    </row>
    <row r="811" spans="1:26" ht="24.75">
      <c r="A811" s="143"/>
      <c r="B811" s="140"/>
      <c r="C811" s="141"/>
      <c r="D811" s="153"/>
      <c r="E811" s="142"/>
      <c r="F811" s="143"/>
      <c r="G811" s="152"/>
      <c r="H811" s="152"/>
      <c r="I811" s="143"/>
      <c r="J811" s="143"/>
      <c r="K811" s="143"/>
      <c r="L811" s="143"/>
      <c r="M811" s="143"/>
      <c r="N811" s="143"/>
      <c r="O811" s="143"/>
      <c r="P811" s="143"/>
      <c r="Q811" s="143"/>
      <c r="R811" s="143"/>
      <c r="S811" s="143"/>
      <c r="T811" s="143"/>
      <c r="U811" s="143"/>
      <c r="V811" s="143"/>
      <c r="W811" s="143"/>
      <c r="X811" s="143"/>
      <c r="Y811" s="143"/>
      <c r="Z811" s="143"/>
    </row>
    <row r="812" spans="1:26" ht="24.75">
      <c r="A812" s="143"/>
      <c r="B812" s="140"/>
      <c r="C812" s="141"/>
      <c r="D812" s="153"/>
      <c r="E812" s="142"/>
      <c r="F812" s="143"/>
      <c r="G812" s="150"/>
      <c r="H812" s="150"/>
      <c r="I812" s="143"/>
      <c r="J812" s="143"/>
      <c r="K812" s="143"/>
      <c r="L812" s="143"/>
      <c r="M812" s="143"/>
      <c r="N812" s="143"/>
      <c r="O812" s="143"/>
      <c r="P812" s="143"/>
      <c r="Q812" s="143"/>
      <c r="R812" s="143"/>
      <c r="S812" s="143"/>
      <c r="T812" s="143"/>
      <c r="U812" s="143"/>
      <c r="V812" s="143"/>
      <c r="W812" s="143"/>
      <c r="X812" s="143"/>
      <c r="Y812" s="143"/>
      <c r="Z812" s="143"/>
    </row>
    <row r="813" spans="1:26" ht="24.75">
      <c r="A813" s="143"/>
      <c r="B813" s="140"/>
      <c r="C813" s="141"/>
      <c r="D813" s="153"/>
      <c r="E813" s="142"/>
      <c r="F813" s="143"/>
      <c r="G813" s="152"/>
      <c r="H813" s="152"/>
      <c r="I813" s="143"/>
      <c r="J813" s="143"/>
      <c r="K813" s="143"/>
      <c r="L813" s="143"/>
      <c r="M813" s="143"/>
      <c r="N813" s="143"/>
      <c r="O813" s="143"/>
      <c r="P813" s="143"/>
      <c r="Q813" s="143"/>
      <c r="R813" s="143"/>
      <c r="S813" s="143"/>
      <c r="T813" s="143"/>
      <c r="U813" s="143"/>
      <c r="V813" s="143"/>
      <c r="W813" s="143"/>
      <c r="X813" s="143"/>
      <c r="Y813" s="143"/>
      <c r="Z813" s="143"/>
    </row>
    <row r="814" spans="1:26" ht="24.75">
      <c r="A814" s="143"/>
      <c r="B814" s="140"/>
      <c r="C814" s="141"/>
      <c r="D814" s="153"/>
      <c r="E814" s="142"/>
      <c r="F814" s="143"/>
      <c r="G814" s="150"/>
      <c r="H814" s="150"/>
      <c r="I814" s="143"/>
      <c r="J814" s="143"/>
      <c r="K814" s="143"/>
      <c r="L814" s="143"/>
      <c r="M814" s="143"/>
      <c r="N814" s="143"/>
      <c r="O814" s="143"/>
      <c r="P814" s="143"/>
      <c r="Q814" s="143"/>
      <c r="R814" s="143"/>
      <c r="S814" s="143"/>
      <c r="T814" s="143"/>
      <c r="U814" s="143"/>
      <c r="V814" s="143"/>
      <c r="W814" s="143"/>
      <c r="X814" s="143"/>
      <c r="Y814" s="143"/>
      <c r="Z814" s="143"/>
    </row>
    <row r="815" spans="1:26" ht="24.75">
      <c r="A815" s="143"/>
      <c r="B815" s="140"/>
      <c r="C815" s="141"/>
      <c r="D815" s="153"/>
      <c r="E815" s="142"/>
      <c r="F815" s="143"/>
      <c r="G815" s="152"/>
      <c r="H815" s="152"/>
      <c r="I815" s="143"/>
      <c r="J815" s="143"/>
      <c r="K815" s="143"/>
      <c r="L815" s="143"/>
      <c r="M815" s="143"/>
      <c r="N815" s="143"/>
      <c r="O815" s="143"/>
      <c r="P815" s="143"/>
      <c r="Q815" s="143"/>
      <c r="R815" s="143"/>
      <c r="S815" s="143"/>
      <c r="T815" s="143"/>
      <c r="U815" s="143"/>
      <c r="V815" s="143"/>
      <c r="W815" s="143"/>
      <c r="X815" s="143"/>
      <c r="Y815" s="143"/>
      <c r="Z815" s="143"/>
    </row>
    <row r="816" spans="1:26" ht="24.75">
      <c r="A816" s="143"/>
      <c r="B816" s="140"/>
      <c r="C816" s="141"/>
      <c r="D816" s="153"/>
      <c r="E816" s="142"/>
      <c r="F816" s="143"/>
      <c r="G816" s="150"/>
      <c r="H816" s="150"/>
      <c r="I816" s="143"/>
      <c r="J816" s="143"/>
      <c r="K816" s="143"/>
      <c r="L816" s="143"/>
      <c r="M816" s="143"/>
      <c r="N816" s="143"/>
      <c r="O816" s="143"/>
      <c r="P816" s="143"/>
      <c r="Q816" s="143"/>
      <c r="R816" s="143"/>
      <c r="S816" s="143"/>
      <c r="T816" s="143"/>
      <c r="U816" s="143"/>
      <c r="V816" s="143"/>
      <c r="W816" s="143"/>
      <c r="X816" s="143"/>
      <c r="Y816" s="143"/>
      <c r="Z816" s="143"/>
    </row>
    <row r="817" spans="1:26" ht="24.75">
      <c r="A817" s="143"/>
      <c r="B817" s="140"/>
      <c r="C817" s="141"/>
      <c r="D817" s="153"/>
      <c r="E817" s="142"/>
      <c r="F817" s="143"/>
      <c r="G817" s="152"/>
      <c r="H817" s="152"/>
      <c r="I817" s="143"/>
      <c r="J817" s="143"/>
      <c r="K817" s="143"/>
      <c r="L817" s="143"/>
      <c r="M817" s="143"/>
      <c r="N817" s="143"/>
      <c r="O817" s="143"/>
      <c r="P817" s="143"/>
      <c r="Q817" s="143"/>
      <c r="R817" s="143"/>
      <c r="S817" s="143"/>
      <c r="T817" s="143"/>
      <c r="U817" s="143"/>
      <c r="V817" s="143"/>
      <c r="W817" s="143"/>
      <c r="X817" s="143"/>
      <c r="Y817" s="143"/>
      <c r="Z817" s="143"/>
    </row>
    <row r="818" spans="1:26" ht="24.75">
      <c r="A818" s="143"/>
      <c r="B818" s="140"/>
      <c r="C818" s="141"/>
      <c r="D818" s="153"/>
      <c r="E818" s="142"/>
      <c r="F818" s="143"/>
      <c r="G818" s="150"/>
      <c r="H818" s="150"/>
      <c r="I818" s="143"/>
      <c r="J818" s="143"/>
      <c r="K818" s="143"/>
      <c r="L818" s="143"/>
      <c r="M818" s="143"/>
      <c r="N818" s="143"/>
      <c r="O818" s="143"/>
      <c r="P818" s="143"/>
      <c r="Q818" s="143"/>
      <c r="R818" s="143"/>
      <c r="S818" s="143"/>
      <c r="T818" s="143"/>
      <c r="U818" s="143"/>
      <c r="V818" s="143"/>
      <c r="W818" s="143"/>
      <c r="X818" s="143"/>
      <c r="Y818" s="143"/>
      <c r="Z818" s="143"/>
    </row>
    <row r="819" spans="1:26" ht="24.75">
      <c r="A819" s="143"/>
      <c r="B819" s="140"/>
      <c r="C819" s="141"/>
      <c r="D819" s="153"/>
      <c r="E819" s="142"/>
      <c r="F819" s="143"/>
      <c r="G819" s="152"/>
      <c r="H819" s="152"/>
      <c r="I819" s="143"/>
      <c r="J819" s="143"/>
      <c r="K819" s="143"/>
      <c r="L819" s="143"/>
      <c r="M819" s="143"/>
      <c r="N819" s="143"/>
      <c r="O819" s="143"/>
      <c r="P819" s="143"/>
      <c r="Q819" s="143"/>
      <c r="R819" s="143"/>
      <c r="S819" s="143"/>
      <c r="T819" s="143"/>
      <c r="U819" s="143"/>
      <c r="V819" s="143"/>
      <c r="W819" s="143"/>
      <c r="X819" s="143"/>
      <c r="Y819" s="143"/>
      <c r="Z819" s="143"/>
    </row>
    <row r="820" spans="1:26" ht="24.75">
      <c r="A820" s="143"/>
      <c r="B820" s="140"/>
      <c r="C820" s="141"/>
      <c r="D820" s="153"/>
      <c r="E820" s="142"/>
      <c r="F820" s="143"/>
      <c r="G820" s="150"/>
      <c r="H820" s="150"/>
      <c r="I820" s="143"/>
      <c r="J820" s="143"/>
      <c r="K820" s="143"/>
      <c r="L820" s="143"/>
      <c r="M820" s="143"/>
      <c r="N820" s="143"/>
      <c r="O820" s="143"/>
      <c r="P820" s="143"/>
      <c r="Q820" s="143"/>
      <c r="R820" s="143"/>
      <c r="S820" s="143"/>
      <c r="T820" s="143"/>
      <c r="U820" s="143"/>
      <c r="V820" s="143"/>
      <c r="W820" s="143"/>
      <c r="X820" s="143"/>
      <c r="Y820" s="143"/>
      <c r="Z820" s="143"/>
    </row>
    <row r="821" spans="1:26" ht="24.75">
      <c r="A821" s="143"/>
      <c r="B821" s="140"/>
      <c r="C821" s="141"/>
      <c r="D821" s="153"/>
      <c r="E821" s="142"/>
      <c r="F821" s="143"/>
      <c r="G821" s="152"/>
      <c r="H821" s="152"/>
      <c r="I821" s="143"/>
      <c r="J821" s="143"/>
      <c r="K821" s="143"/>
      <c r="L821" s="143"/>
      <c r="M821" s="143"/>
      <c r="N821" s="143"/>
      <c r="O821" s="143"/>
      <c r="P821" s="143"/>
      <c r="Q821" s="143"/>
      <c r="R821" s="143"/>
      <c r="S821" s="143"/>
      <c r="T821" s="143"/>
      <c r="U821" s="143"/>
      <c r="V821" s="143"/>
      <c r="W821" s="143"/>
      <c r="X821" s="143"/>
      <c r="Y821" s="143"/>
      <c r="Z821" s="143"/>
    </row>
    <row r="822" spans="1:26" ht="24.75">
      <c r="A822" s="143"/>
      <c r="B822" s="140"/>
      <c r="C822" s="141"/>
      <c r="D822" s="153"/>
      <c r="E822" s="142"/>
      <c r="F822" s="143"/>
      <c r="G822" s="150"/>
      <c r="H822" s="150"/>
      <c r="I822" s="143"/>
      <c r="J822" s="143"/>
      <c r="K822" s="143"/>
      <c r="L822" s="143"/>
      <c r="M822" s="143"/>
      <c r="N822" s="143"/>
      <c r="O822" s="143"/>
      <c r="P822" s="143"/>
      <c r="Q822" s="143"/>
      <c r="R822" s="143"/>
      <c r="S822" s="143"/>
      <c r="T822" s="143"/>
      <c r="U822" s="143"/>
      <c r="V822" s="143"/>
      <c r="W822" s="143"/>
      <c r="X822" s="143"/>
      <c r="Y822" s="143"/>
      <c r="Z822" s="143"/>
    </row>
    <row r="823" spans="1:26" ht="24.75">
      <c r="A823" s="143"/>
      <c r="B823" s="140"/>
      <c r="C823" s="141"/>
      <c r="D823" s="153"/>
      <c r="E823" s="142"/>
      <c r="F823" s="143"/>
      <c r="G823" s="152"/>
      <c r="H823" s="152"/>
      <c r="I823" s="143"/>
      <c r="J823" s="143"/>
      <c r="K823" s="143"/>
      <c r="L823" s="143"/>
      <c r="M823" s="143"/>
      <c r="N823" s="143"/>
      <c r="O823" s="143"/>
      <c r="P823" s="143"/>
      <c r="Q823" s="143"/>
      <c r="R823" s="143"/>
      <c r="S823" s="143"/>
      <c r="T823" s="143"/>
      <c r="U823" s="143"/>
      <c r="V823" s="143"/>
      <c r="W823" s="143"/>
      <c r="X823" s="143"/>
      <c r="Y823" s="143"/>
      <c r="Z823" s="143"/>
    </row>
    <row r="824" spans="1:26" ht="24.75">
      <c r="A824" s="143"/>
      <c r="B824" s="140"/>
      <c r="C824" s="141"/>
      <c r="D824" s="153"/>
      <c r="E824" s="142"/>
      <c r="F824" s="143"/>
      <c r="G824" s="150"/>
      <c r="H824" s="150"/>
      <c r="I824" s="143"/>
      <c r="J824" s="143"/>
      <c r="K824" s="143"/>
      <c r="L824" s="143"/>
      <c r="M824" s="143"/>
      <c r="N824" s="143"/>
      <c r="O824" s="143"/>
      <c r="P824" s="143"/>
      <c r="Q824" s="143"/>
      <c r="R824" s="143"/>
      <c r="S824" s="143"/>
      <c r="T824" s="143"/>
      <c r="U824" s="143"/>
      <c r="V824" s="143"/>
      <c r="W824" s="143"/>
      <c r="X824" s="143"/>
      <c r="Y824" s="143"/>
      <c r="Z824" s="143"/>
    </row>
    <row r="825" spans="1:26" ht="24.75">
      <c r="A825" s="143"/>
      <c r="B825" s="140"/>
      <c r="C825" s="141"/>
      <c r="D825" s="153"/>
      <c r="E825" s="142"/>
      <c r="F825" s="143"/>
      <c r="G825" s="152"/>
      <c r="H825" s="152"/>
      <c r="I825" s="143"/>
      <c r="J825" s="143"/>
      <c r="K825" s="143"/>
      <c r="L825" s="143"/>
      <c r="M825" s="143"/>
      <c r="N825" s="143"/>
      <c r="O825" s="143"/>
      <c r="P825" s="143"/>
      <c r="Q825" s="143"/>
      <c r="R825" s="143"/>
      <c r="S825" s="143"/>
      <c r="T825" s="143"/>
      <c r="U825" s="143"/>
      <c r="V825" s="143"/>
      <c r="W825" s="143"/>
      <c r="X825" s="143"/>
      <c r="Y825" s="143"/>
      <c r="Z825" s="143"/>
    </row>
    <row r="826" spans="1:26" ht="24.75">
      <c r="A826" s="143"/>
      <c r="B826" s="140"/>
      <c r="C826" s="141"/>
      <c r="D826" s="153"/>
      <c r="E826" s="142"/>
      <c r="F826" s="143"/>
      <c r="G826" s="150"/>
      <c r="H826" s="150"/>
      <c r="I826" s="143"/>
      <c r="J826" s="143"/>
      <c r="K826" s="143"/>
      <c r="L826" s="143"/>
      <c r="M826" s="143"/>
      <c r="N826" s="143"/>
      <c r="O826" s="143"/>
      <c r="P826" s="143"/>
      <c r="Q826" s="143"/>
      <c r="R826" s="143"/>
      <c r="S826" s="143"/>
      <c r="T826" s="143"/>
      <c r="U826" s="143"/>
      <c r="V826" s="143"/>
      <c r="W826" s="143"/>
      <c r="X826" s="143"/>
      <c r="Y826" s="143"/>
      <c r="Z826" s="143"/>
    </row>
    <row r="827" spans="1:26" ht="24.75">
      <c r="A827" s="143"/>
      <c r="B827" s="140"/>
      <c r="C827" s="141"/>
      <c r="D827" s="153"/>
      <c r="E827" s="142"/>
      <c r="F827" s="143"/>
      <c r="G827" s="152"/>
      <c r="H827" s="152"/>
      <c r="I827" s="143"/>
      <c r="J827" s="143"/>
      <c r="K827" s="143"/>
      <c r="L827" s="143"/>
      <c r="M827" s="143"/>
      <c r="N827" s="143"/>
      <c r="O827" s="143"/>
      <c r="P827" s="143"/>
      <c r="Q827" s="143"/>
      <c r="R827" s="143"/>
      <c r="S827" s="143"/>
      <c r="T827" s="143"/>
      <c r="U827" s="143"/>
      <c r="V827" s="143"/>
      <c r="W827" s="143"/>
      <c r="X827" s="143"/>
      <c r="Y827" s="143"/>
      <c r="Z827" s="143"/>
    </row>
    <row r="828" spans="1:26" ht="24.75">
      <c r="A828" s="143"/>
      <c r="B828" s="140"/>
      <c r="C828" s="141"/>
      <c r="D828" s="153"/>
      <c r="E828" s="142"/>
      <c r="F828" s="143"/>
      <c r="G828" s="150"/>
      <c r="H828" s="150"/>
      <c r="I828" s="143"/>
      <c r="J828" s="143"/>
      <c r="K828" s="143"/>
      <c r="L828" s="143"/>
      <c r="M828" s="143"/>
      <c r="N828" s="143"/>
      <c r="O828" s="143"/>
      <c r="P828" s="143"/>
      <c r="Q828" s="143"/>
      <c r="R828" s="143"/>
      <c r="S828" s="143"/>
      <c r="T828" s="143"/>
      <c r="U828" s="143"/>
      <c r="V828" s="143"/>
      <c r="W828" s="143"/>
      <c r="X828" s="143"/>
      <c r="Y828" s="143"/>
      <c r="Z828" s="143"/>
    </row>
    <row r="829" spans="1:26" ht="24.75">
      <c r="A829" s="143"/>
      <c r="B829" s="140"/>
      <c r="C829" s="141"/>
      <c r="D829" s="153"/>
      <c r="E829" s="142"/>
      <c r="F829" s="143"/>
      <c r="G829" s="152"/>
      <c r="H829" s="152"/>
      <c r="I829" s="143"/>
      <c r="J829" s="143"/>
      <c r="K829" s="143"/>
      <c r="L829" s="143"/>
      <c r="M829" s="143"/>
      <c r="N829" s="143"/>
      <c r="O829" s="143"/>
      <c r="P829" s="143"/>
      <c r="Q829" s="143"/>
      <c r="R829" s="143"/>
      <c r="S829" s="143"/>
      <c r="T829" s="143"/>
      <c r="U829" s="143"/>
      <c r="V829" s="143"/>
      <c r="W829" s="143"/>
      <c r="X829" s="143"/>
      <c r="Y829" s="143"/>
      <c r="Z829" s="143"/>
    </row>
    <row r="830" spans="1:26" ht="24.75">
      <c r="A830" s="143"/>
      <c r="B830" s="140"/>
      <c r="C830" s="141"/>
      <c r="D830" s="153"/>
      <c r="E830" s="142"/>
      <c r="F830" s="143"/>
      <c r="G830" s="150"/>
      <c r="H830" s="150"/>
      <c r="I830" s="143"/>
      <c r="J830" s="143"/>
      <c r="K830" s="143"/>
      <c r="L830" s="143"/>
      <c r="M830" s="143"/>
      <c r="N830" s="143"/>
      <c r="O830" s="143"/>
      <c r="P830" s="143"/>
      <c r="Q830" s="143"/>
      <c r="R830" s="143"/>
      <c r="S830" s="143"/>
      <c r="T830" s="143"/>
      <c r="U830" s="143"/>
      <c r="V830" s="143"/>
      <c r="W830" s="143"/>
      <c r="X830" s="143"/>
      <c r="Y830" s="143"/>
      <c r="Z830" s="143"/>
    </row>
    <row r="831" spans="1:26" ht="24.75">
      <c r="A831" s="143"/>
      <c r="B831" s="140"/>
      <c r="C831" s="141"/>
      <c r="D831" s="153"/>
      <c r="E831" s="142"/>
      <c r="F831" s="143"/>
      <c r="G831" s="152"/>
      <c r="H831" s="152"/>
      <c r="I831" s="143"/>
      <c r="J831" s="143"/>
      <c r="K831" s="143"/>
      <c r="L831" s="143"/>
      <c r="M831" s="143"/>
      <c r="N831" s="143"/>
      <c r="O831" s="143"/>
      <c r="P831" s="143"/>
      <c r="Q831" s="143"/>
      <c r="R831" s="143"/>
      <c r="S831" s="143"/>
      <c r="T831" s="143"/>
      <c r="U831" s="143"/>
      <c r="V831" s="143"/>
      <c r="W831" s="143"/>
      <c r="X831" s="143"/>
      <c r="Y831" s="143"/>
      <c r="Z831" s="143"/>
    </row>
    <row r="832" spans="1:26" ht="24.75">
      <c r="A832" s="143"/>
      <c r="B832" s="140"/>
      <c r="C832" s="141"/>
      <c r="D832" s="153"/>
      <c r="E832" s="142"/>
      <c r="F832" s="143"/>
      <c r="G832" s="150"/>
      <c r="H832" s="150"/>
      <c r="I832" s="143"/>
      <c r="J832" s="143"/>
      <c r="K832" s="143"/>
      <c r="L832" s="143"/>
      <c r="M832" s="143"/>
      <c r="N832" s="143"/>
      <c r="O832" s="143"/>
      <c r="P832" s="143"/>
      <c r="Q832" s="143"/>
      <c r="R832" s="143"/>
      <c r="S832" s="143"/>
      <c r="T832" s="143"/>
      <c r="U832" s="143"/>
      <c r="V832" s="143"/>
      <c r="W832" s="143"/>
      <c r="X832" s="143"/>
      <c r="Y832" s="143"/>
      <c r="Z832" s="143"/>
    </row>
    <row r="833" spans="1:26" ht="24.75">
      <c r="A833" s="143"/>
      <c r="B833" s="140"/>
      <c r="C833" s="141"/>
      <c r="D833" s="153"/>
      <c r="E833" s="142"/>
      <c r="F833" s="143"/>
      <c r="G833" s="152"/>
      <c r="H833" s="152"/>
      <c r="I833" s="143"/>
      <c r="J833" s="143"/>
      <c r="K833" s="143"/>
      <c r="L833" s="143"/>
      <c r="M833" s="143"/>
      <c r="N833" s="143"/>
      <c r="O833" s="143"/>
      <c r="P833" s="143"/>
      <c r="Q833" s="143"/>
      <c r="R833" s="143"/>
      <c r="S833" s="143"/>
      <c r="T833" s="143"/>
      <c r="U833" s="143"/>
      <c r="V833" s="143"/>
      <c r="W833" s="143"/>
      <c r="X833" s="143"/>
      <c r="Y833" s="143"/>
      <c r="Z833" s="143"/>
    </row>
    <row r="834" spans="1:26" ht="24.75">
      <c r="A834" s="143"/>
      <c r="B834" s="140"/>
      <c r="C834" s="141"/>
      <c r="D834" s="153"/>
      <c r="E834" s="142"/>
      <c r="F834" s="143"/>
      <c r="G834" s="150"/>
      <c r="H834" s="150"/>
      <c r="I834" s="143"/>
      <c r="J834" s="143"/>
      <c r="K834" s="143"/>
      <c r="L834" s="143"/>
      <c r="M834" s="143"/>
      <c r="N834" s="143"/>
      <c r="O834" s="143"/>
      <c r="P834" s="143"/>
      <c r="Q834" s="143"/>
      <c r="R834" s="143"/>
      <c r="S834" s="143"/>
      <c r="T834" s="143"/>
      <c r="U834" s="143"/>
      <c r="V834" s="143"/>
      <c r="W834" s="143"/>
      <c r="X834" s="143"/>
      <c r="Y834" s="143"/>
      <c r="Z834" s="143"/>
    </row>
    <row r="835" spans="1:26" ht="24.75">
      <c r="A835" s="143"/>
      <c r="B835" s="140"/>
      <c r="C835" s="141"/>
      <c r="D835" s="153"/>
      <c r="E835" s="142"/>
      <c r="F835" s="143"/>
      <c r="G835" s="152"/>
      <c r="H835" s="152"/>
      <c r="I835" s="143"/>
      <c r="J835" s="143"/>
      <c r="K835" s="143"/>
      <c r="L835" s="143"/>
      <c r="M835" s="143"/>
      <c r="N835" s="143"/>
      <c r="O835" s="143"/>
      <c r="P835" s="143"/>
      <c r="Q835" s="143"/>
      <c r="R835" s="143"/>
      <c r="S835" s="143"/>
      <c r="T835" s="143"/>
      <c r="U835" s="143"/>
      <c r="V835" s="143"/>
      <c r="W835" s="143"/>
      <c r="X835" s="143"/>
      <c r="Y835" s="143"/>
      <c r="Z835" s="143"/>
    </row>
    <row r="836" spans="1:26" ht="24.75">
      <c r="A836" s="143"/>
      <c r="B836" s="140"/>
      <c r="C836" s="141"/>
      <c r="D836" s="153"/>
      <c r="E836" s="142"/>
      <c r="F836" s="143"/>
      <c r="G836" s="150"/>
      <c r="H836" s="150"/>
      <c r="I836" s="143"/>
      <c r="J836" s="143"/>
      <c r="K836" s="143"/>
      <c r="L836" s="143"/>
      <c r="M836" s="143"/>
      <c r="N836" s="143"/>
      <c r="O836" s="143"/>
      <c r="P836" s="143"/>
      <c r="Q836" s="143"/>
      <c r="R836" s="143"/>
      <c r="S836" s="143"/>
      <c r="T836" s="143"/>
      <c r="U836" s="143"/>
      <c r="V836" s="143"/>
      <c r="W836" s="143"/>
      <c r="X836" s="143"/>
      <c r="Y836" s="143"/>
      <c r="Z836" s="143"/>
    </row>
    <row r="837" spans="1:26" ht="24.75">
      <c r="A837" s="143"/>
      <c r="B837" s="140"/>
      <c r="C837" s="141"/>
      <c r="D837" s="153"/>
      <c r="E837" s="142"/>
      <c r="F837" s="143"/>
      <c r="G837" s="152"/>
      <c r="H837" s="152"/>
      <c r="I837" s="143"/>
      <c r="J837" s="143"/>
      <c r="K837" s="143"/>
      <c r="L837" s="143"/>
      <c r="M837" s="143"/>
      <c r="N837" s="143"/>
      <c r="O837" s="143"/>
      <c r="P837" s="143"/>
      <c r="Q837" s="143"/>
      <c r="R837" s="143"/>
      <c r="S837" s="143"/>
      <c r="T837" s="143"/>
      <c r="U837" s="143"/>
      <c r="V837" s="143"/>
      <c r="W837" s="143"/>
      <c r="X837" s="143"/>
      <c r="Y837" s="143"/>
      <c r="Z837" s="143"/>
    </row>
    <row r="838" spans="1:26" ht="24.75">
      <c r="A838" s="143"/>
      <c r="B838" s="140"/>
      <c r="C838" s="141"/>
      <c r="D838" s="153"/>
      <c r="E838" s="142"/>
      <c r="F838" s="143"/>
      <c r="G838" s="150"/>
      <c r="H838" s="150"/>
      <c r="I838" s="143"/>
      <c r="J838" s="143"/>
      <c r="K838" s="143"/>
      <c r="L838" s="143"/>
      <c r="M838" s="143"/>
      <c r="N838" s="143"/>
      <c r="O838" s="143"/>
      <c r="P838" s="143"/>
      <c r="Q838" s="143"/>
      <c r="R838" s="143"/>
      <c r="S838" s="143"/>
      <c r="T838" s="143"/>
      <c r="U838" s="143"/>
      <c r="V838" s="143"/>
      <c r="W838" s="143"/>
      <c r="X838" s="143"/>
      <c r="Y838" s="143"/>
      <c r="Z838" s="143"/>
    </row>
    <row r="839" spans="1:26" ht="24.75">
      <c r="A839" s="143"/>
      <c r="B839" s="140"/>
      <c r="C839" s="141"/>
      <c r="D839" s="153"/>
      <c r="E839" s="142"/>
      <c r="F839" s="143"/>
      <c r="G839" s="152"/>
      <c r="H839" s="152"/>
      <c r="I839" s="143"/>
      <c r="J839" s="143"/>
      <c r="K839" s="143"/>
      <c r="L839" s="143"/>
      <c r="M839" s="143"/>
      <c r="N839" s="143"/>
      <c r="O839" s="143"/>
      <c r="P839" s="143"/>
      <c r="Q839" s="143"/>
      <c r="R839" s="143"/>
      <c r="S839" s="143"/>
      <c r="T839" s="143"/>
      <c r="U839" s="143"/>
      <c r="V839" s="143"/>
      <c r="W839" s="143"/>
      <c r="X839" s="143"/>
      <c r="Y839" s="143"/>
      <c r="Z839" s="143"/>
    </row>
    <row r="840" spans="1:26" ht="24.75">
      <c r="A840" s="143"/>
      <c r="B840" s="140"/>
      <c r="C840" s="141"/>
      <c r="D840" s="153"/>
      <c r="E840" s="142"/>
      <c r="F840" s="143"/>
      <c r="G840" s="150"/>
      <c r="H840" s="150"/>
      <c r="I840" s="143"/>
      <c r="J840" s="143"/>
      <c r="K840" s="143"/>
      <c r="L840" s="143"/>
      <c r="M840" s="143"/>
      <c r="N840" s="143"/>
      <c r="O840" s="143"/>
      <c r="P840" s="143"/>
      <c r="Q840" s="143"/>
      <c r="R840" s="143"/>
      <c r="S840" s="143"/>
      <c r="T840" s="143"/>
      <c r="U840" s="143"/>
      <c r="V840" s="143"/>
      <c r="W840" s="143"/>
      <c r="X840" s="143"/>
      <c r="Y840" s="143"/>
      <c r="Z840" s="143"/>
    </row>
    <row r="841" spans="1:26" ht="24.75">
      <c r="A841" s="143"/>
      <c r="B841" s="140"/>
      <c r="C841" s="141"/>
      <c r="D841" s="153"/>
      <c r="E841" s="142"/>
      <c r="F841" s="143"/>
      <c r="G841" s="152"/>
      <c r="H841" s="152"/>
      <c r="I841" s="143"/>
      <c r="J841" s="143"/>
      <c r="K841" s="143"/>
      <c r="L841" s="143"/>
      <c r="M841" s="143"/>
      <c r="N841" s="143"/>
      <c r="O841" s="143"/>
      <c r="P841" s="143"/>
      <c r="Q841" s="143"/>
      <c r="R841" s="143"/>
      <c r="S841" s="143"/>
      <c r="T841" s="143"/>
      <c r="U841" s="143"/>
      <c r="V841" s="143"/>
      <c r="W841" s="143"/>
      <c r="X841" s="143"/>
      <c r="Y841" s="143"/>
      <c r="Z841" s="143"/>
    </row>
    <row r="842" spans="1:26" ht="24.75">
      <c r="A842" s="143"/>
      <c r="B842" s="140"/>
      <c r="C842" s="141"/>
      <c r="D842" s="153"/>
      <c r="E842" s="142"/>
      <c r="F842" s="143"/>
      <c r="G842" s="150"/>
      <c r="H842" s="150"/>
      <c r="I842" s="143"/>
      <c r="J842" s="143"/>
      <c r="K842" s="143"/>
      <c r="L842" s="143"/>
      <c r="M842" s="143"/>
      <c r="N842" s="143"/>
      <c r="O842" s="143"/>
      <c r="P842" s="143"/>
      <c r="Q842" s="143"/>
      <c r="R842" s="143"/>
      <c r="S842" s="143"/>
      <c r="T842" s="143"/>
      <c r="U842" s="143"/>
      <c r="V842" s="143"/>
      <c r="W842" s="143"/>
      <c r="X842" s="143"/>
      <c r="Y842" s="143"/>
      <c r="Z842" s="143"/>
    </row>
    <row r="843" spans="1:26" ht="24.75">
      <c r="A843" s="143"/>
      <c r="B843" s="140"/>
      <c r="C843" s="141"/>
      <c r="D843" s="153"/>
      <c r="E843" s="142"/>
      <c r="F843" s="143"/>
      <c r="G843" s="152"/>
      <c r="H843" s="152"/>
      <c r="I843" s="143"/>
      <c r="J843" s="143"/>
      <c r="K843" s="143"/>
      <c r="L843" s="143"/>
      <c r="M843" s="143"/>
      <c r="N843" s="143"/>
      <c r="O843" s="143"/>
      <c r="P843" s="143"/>
      <c r="Q843" s="143"/>
      <c r="R843" s="143"/>
      <c r="S843" s="143"/>
      <c r="T843" s="143"/>
      <c r="U843" s="143"/>
      <c r="V843" s="143"/>
      <c r="W843" s="143"/>
      <c r="X843" s="143"/>
      <c r="Y843" s="143"/>
      <c r="Z843" s="143"/>
    </row>
    <row r="844" spans="1:26" ht="24.75">
      <c r="A844" s="143"/>
      <c r="B844" s="140"/>
      <c r="C844" s="141"/>
      <c r="D844" s="153"/>
      <c r="E844" s="142"/>
      <c r="F844" s="143"/>
      <c r="G844" s="150"/>
      <c r="H844" s="150"/>
      <c r="I844" s="143"/>
      <c r="J844" s="143"/>
      <c r="K844" s="143"/>
      <c r="L844" s="143"/>
      <c r="M844" s="143"/>
      <c r="N844" s="143"/>
      <c r="O844" s="143"/>
      <c r="P844" s="143"/>
      <c r="Q844" s="143"/>
      <c r="R844" s="143"/>
      <c r="S844" s="143"/>
      <c r="T844" s="143"/>
      <c r="U844" s="143"/>
      <c r="V844" s="143"/>
      <c r="W844" s="143"/>
      <c r="X844" s="143"/>
      <c r="Y844" s="143"/>
      <c r="Z844" s="143"/>
    </row>
    <row r="845" spans="1:26" ht="24.75">
      <c r="A845" s="143"/>
      <c r="B845" s="140"/>
      <c r="C845" s="141"/>
      <c r="D845" s="153"/>
      <c r="E845" s="142"/>
      <c r="F845" s="143"/>
      <c r="G845" s="152"/>
      <c r="H845" s="152"/>
      <c r="I845" s="143"/>
      <c r="J845" s="143"/>
      <c r="K845" s="143"/>
      <c r="L845" s="143"/>
      <c r="M845" s="143"/>
      <c r="N845" s="143"/>
      <c r="O845" s="143"/>
      <c r="P845" s="143"/>
      <c r="Q845" s="143"/>
      <c r="R845" s="143"/>
      <c r="S845" s="143"/>
      <c r="T845" s="143"/>
      <c r="U845" s="143"/>
      <c r="V845" s="143"/>
      <c r="W845" s="143"/>
      <c r="X845" s="143"/>
      <c r="Y845" s="143"/>
      <c r="Z845" s="143"/>
    </row>
    <row r="846" spans="1:26" ht="24.75">
      <c r="A846" s="143"/>
      <c r="B846" s="140"/>
      <c r="C846" s="141"/>
      <c r="D846" s="153"/>
      <c r="E846" s="142"/>
      <c r="F846" s="143"/>
      <c r="G846" s="150"/>
      <c r="H846" s="150"/>
      <c r="I846" s="143"/>
      <c r="J846" s="143"/>
      <c r="K846" s="143"/>
      <c r="L846" s="143"/>
      <c r="M846" s="143"/>
      <c r="N846" s="143"/>
      <c r="O846" s="143"/>
      <c r="P846" s="143"/>
      <c r="Q846" s="143"/>
      <c r="R846" s="143"/>
      <c r="S846" s="143"/>
      <c r="T846" s="143"/>
      <c r="U846" s="143"/>
      <c r="V846" s="143"/>
      <c r="W846" s="143"/>
      <c r="X846" s="143"/>
      <c r="Y846" s="143"/>
      <c r="Z846" s="143"/>
    </row>
    <row r="847" spans="1:26" ht="24.75">
      <c r="A847" s="143"/>
      <c r="B847" s="140"/>
      <c r="C847" s="141"/>
      <c r="D847" s="153"/>
      <c r="E847" s="142"/>
      <c r="F847" s="143"/>
      <c r="G847" s="152"/>
      <c r="H847" s="152"/>
      <c r="I847" s="143"/>
      <c r="J847" s="143"/>
      <c r="K847" s="143"/>
      <c r="L847" s="143"/>
      <c r="M847" s="143"/>
      <c r="N847" s="143"/>
      <c r="O847" s="143"/>
      <c r="P847" s="143"/>
      <c r="Q847" s="143"/>
      <c r="R847" s="143"/>
      <c r="S847" s="143"/>
      <c r="T847" s="143"/>
      <c r="U847" s="143"/>
      <c r="V847" s="143"/>
      <c r="W847" s="143"/>
      <c r="X847" s="143"/>
      <c r="Y847" s="143"/>
      <c r="Z847" s="143"/>
    </row>
    <row r="848" spans="1:26" ht="24.75">
      <c r="A848" s="143"/>
      <c r="B848" s="140"/>
      <c r="C848" s="141"/>
      <c r="D848" s="153"/>
      <c r="E848" s="142"/>
      <c r="F848" s="143"/>
      <c r="G848" s="150"/>
      <c r="H848" s="150"/>
      <c r="I848" s="143"/>
      <c r="J848" s="143"/>
      <c r="K848" s="143"/>
      <c r="L848" s="143"/>
      <c r="M848" s="143"/>
      <c r="N848" s="143"/>
      <c r="O848" s="143"/>
      <c r="P848" s="143"/>
      <c r="Q848" s="143"/>
      <c r="R848" s="143"/>
      <c r="S848" s="143"/>
      <c r="T848" s="143"/>
      <c r="U848" s="143"/>
      <c r="V848" s="143"/>
      <c r="W848" s="143"/>
      <c r="X848" s="143"/>
      <c r="Y848" s="143"/>
      <c r="Z848" s="143"/>
    </row>
    <row r="849" spans="1:26" ht="24.75">
      <c r="A849" s="143"/>
      <c r="B849" s="140"/>
      <c r="C849" s="141"/>
      <c r="D849" s="153"/>
      <c r="E849" s="142"/>
      <c r="F849" s="143"/>
      <c r="G849" s="152"/>
      <c r="H849" s="152"/>
      <c r="I849" s="143"/>
      <c r="J849" s="143"/>
      <c r="K849" s="143"/>
      <c r="L849" s="143"/>
      <c r="M849" s="143"/>
      <c r="N849" s="143"/>
      <c r="O849" s="143"/>
      <c r="P849" s="143"/>
      <c r="Q849" s="143"/>
      <c r="R849" s="143"/>
      <c r="S849" s="143"/>
      <c r="T849" s="143"/>
      <c r="U849" s="143"/>
      <c r="V849" s="143"/>
      <c r="W849" s="143"/>
      <c r="X849" s="143"/>
      <c r="Y849" s="143"/>
      <c r="Z849" s="143"/>
    </row>
    <row r="850" spans="1:26" ht="24.75">
      <c r="A850" s="143"/>
      <c r="B850" s="140"/>
      <c r="C850" s="141"/>
      <c r="D850" s="153"/>
      <c r="E850" s="142"/>
      <c r="F850" s="143"/>
      <c r="G850" s="150"/>
      <c r="H850" s="150"/>
      <c r="I850" s="143"/>
      <c r="J850" s="143"/>
      <c r="K850" s="143"/>
      <c r="L850" s="143"/>
      <c r="M850" s="143"/>
      <c r="N850" s="143"/>
      <c r="O850" s="143"/>
      <c r="P850" s="143"/>
      <c r="Q850" s="143"/>
      <c r="R850" s="143"/>
      <c r="S850" s="143"/>
      <c r="T850" s="143"/>
      <c r="U850" s="143"/>
      <c r="V850" s="143"/>
      <c r="W850" s="143"/>
      <c r="X850" s="143"/>
      <c r="Y850" s="143"/>
      <c r="Z850" s="143"/>
    </row>
    <row r="851" spans="1:26" ht="24.75">
      <c r="A851" s="143"/>
      <c r="B851" s="140"/>
      <c r="C851" s="141"/>
      <c r="D851" s="153"/>
      <c r="E851" s="142"/>
      <c r="F851" s="143"/>
      <c r="G851" s="152"/>
      <c r="H851" s="152"/>
      <c r="I851" s="143"/>
      <c r="J851" s="143"/>
      <c r="K851" s="143"/>
      <c r="L851" s="143"/>
      <c r="M851" s="143"/>
      <c r="N851" s="143"/>
      <c r="O851" s="143"/>
      <c r="P851" s="143"/>
      <c r="Q851" s="143"/>
      <c r="R851" s="143"/>
      <c r="S851" s="143"/>
      <c r="T851" s="143"/>
      <c r="U851" s="143"/>
      <c r="V851" s="143"/>
      <c r="W851" s="143"/>
      <c r="X851" s="143"/>
      <c r="Y851" s="143"/>
      <c r="Z851" s="143"/>
    </row>
    <row r="852" spans="1:26" ht="24.75">
      <c r="A852" s="143"/>
      <c r="B852" s="140"/>
      <c r="C852" s="141"/>
      <c r="D852" s="153"/>
      <c r="E852" s="142"/>
      <c r="F852" s="143"/>
      <c r="G852" s="150"/>
      <c r="H852" s="150"/>
      <c r="I852" s="143"/>
      <c r="J852" s="143"/>
      <c r="K852" s="143"/>
      <c r="L852" s="143"/>
      <c r="M852" s="143"/>
      <c r="N852" s="143"/>
      <c r="O852" s="143"/>
      <c r="P852" s="143"/>
      <c r="Q852" s="143"/>
      <c r="R852" s="143"/>
      <c r="S852" s="143"/>
      <c r="T852" s="143"/>
      <c r="U852" s="143"/>
      <c r="V852" s="143"/>
      <c r="W852" s="143"/>
      <c r="X852" s="143"/>
      <c r="Y852" s="143"/>
      <c r="Z852" s="143"/>
    </row>
    <row r="853" spans="1:26" ht="24.75">
      <c r="A853" s="143"/>
      <c r="B853" s="140"/>
      <c r="C853" s="141"/>
      <c r="D853" s="153"/>
      <c r="E853" s="142"/>
      <c r="F853" s="143"/>
      <c r="G853" s="152"/>
      <c r="H853" s="152"/>
      <c r="I853" s="143"/>
      <c r="J853" s="143"/>
      <c r="K853" s="143"/>
      <c r="L853" s="143"/>
      <c r="M853" s="143"/>
      <c r="N853" s="143"/>
      <c r="O853" s="143"/>
      <c r="P853" s="143"/>
      <c r="Q853" s="143"/>
      <c r="R853" s="143"/>
      <c r="S853" s="143"/>
      <c r="T853" s="143"/>
      <c r="U853" s="143"/>
      <c r="V853" s="143"/>
      <c r="W853" s="143"/>
      <c r="X853" s="143"/>
      <c r="Y853" s="143"/>
      <c r="Z853" s="143"/>
    </row>
    <row r="854" spans="1:26" ht="24.75">
      <c r="A854" s="143"/>
      <c r="B854" s="140"/>
      <c r="C854" s="141"/>
      <c r="D854" s="153"/>
      <c r="E854" s="142"/>
      <c r="F854" s="143"/>
      <c r="G854" s="150"/>
      <c r="H854" s="150"/>
      <c r="I854" s="143"/>
      <c r="J854" s="143"/>
      <c r="K854" s="143"/>
      <c r="L854" s="143"/>
      <c r="M854" s="143"/>
      <c r="N854" s="143"/>
      <c r="O854" s="143"/>
      <c r="P854" s="143"/>
      <c r="Q854" s="143"/>
      <c r="R854" s="143"/>
      <c r="S854" s="143"/>
      <c r="T854" s="143"/>
      <c r="U854" s="143"/>
      <c r="V854" s="143"/>
      <c r="W854" s="143"/>
      <c r="X854" s="143"/>
      <c r="Y854" s="143"/>
      <c r="Z854" s="143"/>
    </row>
    <row r="855" spans="1:26" ht="24.75">
      <c r="A855" s="143"/>
      <c r="B855" s="140"/>
      <c r="C855" s="141"/>
      <c r="D855" s="153"/>
      <c r="E855" s="142"/>
      <c r="F855" s="143"/>
      <c r="G855" s="152"/>
      <c r="H855" s="152"/>
      <c r="I855" s="143"/>
      <c r="J855" s="143"/>
      <c r="K855" s="143"/>
      <c r="L855" s="143"/>
      <c r="M855" s="143"/>
      <c r="N855" s="143"/>
      <c r="O855" s="143"/>
      <c r="P855" s="143"/>
      <c r="Q855" s="143"/>
      <c r="R855" s="143"/>
      <c r="S855" s="143"/>
      <c r="T855" s="143"/>
      <c r="U855" s="143"/>
      <c r="V855" s="143"/>
      <c r="W855" s="143"/>
      <c r="X855" s="143"/>
      <c r="Y855" s="143"/>
      <c r="Z855" s="143"/>
    </row>
    <row r="856" spans="1:26" ht="24.75">
      <c r="A856" s="143"/>
      <c r="B856" s="140"/>
      <c r="C856" s="141"/>
      <c r="D856" s="153"/>
      <c r="E856" s="142"/>
      <c r="F856" s="143"/>
      <c r="G856" s="150"/>
      <c r="H856" s="150"/>
      <c r="I856" s="143"/>
      <c r="J856" s="143"/>
      <c r="K856" s="143"/>
      <c r="L856" s="143"/>
      <c r="M856" s="143"/>
      <c r="N856" s="143"/>
      <c r="O856" s="143"/>
      <c r="P856" s="143"/>
      <c r="Q856" s="143"/>
      <c r="R856" s="143"/>
      <c r="S856" s="143"/>
      <c r="T856" s="143"/>
      <c r="U856" s="143"/>
      <c r="V856" s="143"/>
      <c r="W856" s="143"/>
      <c r="X856" s="143"/>
      <c r="Y856" s="143"/>
      <c r="Z856" s="143"/>
    </row>
    <row r="857" spans="1:26" ht="24.75">
      <c r="A857" s="143"/>
      <c r="B857" s="140"/>
      <c r="C857" s="141"/>
      <c r="D857" s="153"/>
      <c r="E857" s="142"/>
      <c r="F857" s="143"/>
      <c r="G857" s="152"/>
      <c r="H857" s="152"/>
      <c r="I857" s="143"/>
      <c r="J857" s="143"/>
      <c r="K857" s="143"/>
      <c r="L857" s="143"/>
      <c r="M857" s="143"/>
      <c r="N857" s="143"/>
      <c r="O857" s="143"/>
      <c r="P857" s="143"/>
      <c r="Q857" s="143"/>
      <c r="R857" s="143"/>
      <c r="S857" s="143"/>
      <c r="T857" s="143"/>
      <c r="U857" s="143"/>
      <c r="V857" s="143"/>
      <c r="W857" s="143"/>
      <c r="X857" s="143"/>
      <c r="Y857" s="143"/>
      <c r="Z857" s="143"/>
    </row>
    <row r="858" spans="1:26" ht="24.75">
      <c r="A858" s="143"/>
      <c r="B858" s="140"/>
      <c r="C858" s="141"/>
      <c r="D858" s="153"/>
      <c r="E858" s="142"/>
      <c r="F858" s="143"/>
      <c r="G858" s="150"/>
      <c r="H858" s="150"/>
      <c r="I858" s="143"/>
      <c r="J858" s="143"/>
      <c r="K858" s="143"/>
      <c r="L858" s="143"/>
      <c r="M858" s="143"/>
      <c r="N858" s="143"/>
      <c r="O858" s="143"/>
      <c r="P858" s="143"/>
      <c r="Q858" s="143"/>
      <c r="R858" s="143"/>
      <c r="S858" s="143"/>
      <c r="T858" s="143"/>
      <c r="U858" s="143"/>
      <c r="V858" s="143"/>
      <c r="W858" s="143"/>
      <c r="X858" s="143"/>
      <c r="Y858" s="143"/>
      <c r="Z858" s="143"/>
    </row>
    <row r="859" spans="1:26" ht="24.75">
      <c r="A859" s="143"/>
      <c r="B859" s="140"/>
      <c r="C859" s="141"/>
      <c r="D859" s="153"/>
      <c r="E859" s="142"/>
      <c r="F859" s="143"/>
      <c r="G859" s="152"/>
      <c r="H859" s="152"/>
      <c r="I859" s="143"/>
      <c r="J859" s="143"/>
      <c r="K859" s="143"/>
      <c r="L859" s="143"/>
      <c r="M859" s="143"/>
      <c r="N859" s="143"/>
      <c r="O859" s="143"/>
      <c r="P859" s="143"/>
      <c r="Q859" s="143"/>
      <c r="R859" s="143"/>
      <c r="S859" s="143"/>
      <c r="T859" s="143"/>
      <c r="U859" s="143"/>
      <c r="V859" s="143"/>
      <c r="W859" s="143"/>
      <c r="X859" s="143"/>
      <c r="Y859" s="143"/>
      <c r="Z859" s="143"/>
    </row>
    <row r="860" spans="1:26" ht="24.75">
      <c r="A860" s="143"/>
      <c r="B860" s="140"/>
      <c r="C860" s="141"/>
      <c r="D860" s="153"/>
      <c r="E860" s="142"/>
      <c r="F860" s="143"/>
      <c r="G860" s="150"/>
      <c r="H860" s="150"/>
      <c r="I860" s="143"/>
      <c r="J860" s="143"/>
      <c r="K860" s="143"/>
      <c r="L860" s="143"/>
      <c r="M860" s="143"/>
      <c r="N860" s="143"/>
      <c r="O860" s="143"/>
      <c r="P860" s="143"/>
      <c r="Q860" s="143"/>
      <c r="R860" s="143"/>
      <c r="S860" s="143"/>
      <c r="T860" s="143"/>
      <c r="U860" s="143"/>
      <c r="V860" s="143"/>
      <c r="W860" s="143"/>
      <c r="X860" s="143"/>
      <c r="Y860" s="143"/>
      <c r="Z860" s="143"/>
    </row>
    <row r="861" spans="1:26" ht="24.75">
      <c r="A861" s="143"/>
      <c r="B861" s="140"/>
      <c r="C861" s="141"/>
      <c r="D861" s="153"/>
      <c r="E861" s="142"/>
      <c r="F861" s="143"/>
      <c r="G861" s="152"/>
      <c r="H861" s="152"/>
      <c r="I861" s="143"/>
      <c r="J861" s="143"/>
      <c r="K861" s="143"/>
      <c r="L861" s="143"/>
      <c r="M861" s="143"/>
      <c r="N861" s="143"/>
      <c r="O861" s="143"/>
      <c r="P861" s="143"/>
      <c r="Q861" s="143"/>
      <c r="R861" s="143"/>
      <c r="S861" s="143"/>
      <c r="T861" s="143"/>
      <c r="U861" s="143"/>
      <c r="V861" s="143"/>
      <c r="W861" s="143"/>
      <c r="X861" s="143"/>
      <c r="Y861" s="143"/>
      <c r="Z861" s="143"/>
    </row>
    <row r="862" spans="1:26" ht="24.75">
      <c r="A862" s="143"/>
      <c r="B862" s="140"/>
      <c r="C862" s="141"/>
      <c r="D862" s="153"/>
      <c r="E862" s="142"/>
      <c r="F862" s="143"/>
      <c r="G862" s="150"/>
      <c r="H862" s="150"/>
      <c r="I862" s="143"/>
      <c r="J862" s="143"/>
      <c r="K862" s="143"/>
      <c r="L862" s="143"/>
      <c r="M862" s="143"/>
      <c r="N862" s="143"/>
      <c r="O862" s="143"/>
      <c r="P862" s="143"/>
      <c r="Q862" s="143"/>
      <c r="R862" s="143"/>
      <c r="S862" s="143"/>
      <c r="T862" s="143"/>
      <c r="U862" s="143"/>
      <c r="V862" s="143"/>
      <c r="W862" s="143"/>
      <c r="X862" s="143"/>
      <c r="Y862" s="143"/>
      <c r="Z862" s="143"/>
    </row>
    <row r="863" spans="1:26" ht="24.75">
      <c r="A863" s="143"/>
      <c r="B863" s="140"/>
      <c r="C863" s="141"/>
      <c r="D863" s="153"/>
      <c r="E863" s="142"/>
      <c r="F863" s="143"/>
      <c r="G863" s="152"/>
      <c r="H863" s="152"/>
      <c r="I863" s="143"/>
      <c r="J863" s="143"/>
      <c r="K863" s="143"/>
      <c r="L863" s="143"/>
      <c r="M863" s="143"/>
      <c r="N863" s="143"/>
      <c r="O863" s="143"/>
      <c r="P863" s="143"/>
      <c r="Q863" s="143"/>
      <c r="R863" s="143"/>
      <c r="S863" s="143"/>
      <c r="T863" s="143"/>
      <c r="U863" s="143"/>
      <c r="V863" s="143"/>
      <c r="W863" s="143"/>
      <c r="X863" s="143"/>
      <c r="Y863" s="143"/>
      <c r="Z863" s="143"/>
    </row>
    <row r="864" spans="1:26" ht="24.75">
      <c r="A864" s="143"/>
      <c r="B864" s="140"/>
      <c r="C864" s="141"/>
      <c r="D864" s="153"/>
      <c r="E864" s="142"/>
      <c r="F864" s="143"/>
      <c r="G864" s="150"/>
      <c r="H864" s="150"/>
      <c r="I864" s="143"/>
      <c r="J864" s="143"/>
      <c r="K864" s="143"/>
      <c r="L864" s="143"/>
      <c r="M864" s="143"/>
      <c r="N864" s="143"/>
      <c r="O864" s="143"/>
      <c r="P864" s="143"/>
      <c r="Q864" s="143"/>
      <c r="R864" s="143"/>
      <c r="S864" s="143"/>
      <c r="T864" s="143"/>
      <c r="U864" s="143"/>
      <c r="V864" s="143"/>
      <c r="W864" s="143"/>
      <c r="X864" s="143"/>
      <c r="Y864" s="143"/>
      <c r="Z864" s="143"/>
    </row>
    <row r="865" spans="1:26" ht="24.75">
      <c r="A865" s="143"/>
      <c r="B865" s="140"/>
      <c r="C865" s="141"/>
      <c r="D865" s="153"/>
      <c r="E865" s="142"/>
      <c r="F865" s="143"/>
      <c r="G865" s="152"/>
      <c r="H865" s="152"/>
      <c r="I865" s="143"/>
      <c r="J865" s="143"/>
      <c r="K865" s="143"/>
      <c r="L865" s="143"/>
      <c r="M865" s="143"/>
      <c r="N865" s="143"/>
      <c r="O865" s="143"/>
      <c r="P865" s="143"/>
      <c r="Q865" s="143"/>
      <c r="R865" s="143"/>
      <c r="S865" s="143"/>
      <c r="T865" s="143"/>
      <c r="U865" s="143"/>
      <c r="V865" s="143"/>
      <c r="W865" s="143"/>
      <c r="X865" s="143"/>
      <c r="Y865" s="143"/>
      <c r="Z865" s="143"/>
    </row>
    <row r="866" spans="1:26" ht="24.75">
      <c r="A866" s="143"/>
      <c r="B866" s="140"/>
      <c r="C866" s="141"/>
      <c r="D866" s="153"/>
      <c r="E866" s="142"/>
      <c r="F866" s="143"/>
      <c r="G866" s="150"/>
      <c r="H866" s="150"/>
      <c r="I866" s="143"/>
      <c r="J866" s="143"/>
      <c r="K866" s="143"/>
      <c r="L866" s="143"/>
      <c r="M866" s="143"/>
      <c r="N866" s="143"/>
      <c r="O866" s="143"/>
      <c r="P866" s="143"/>
      <c r="Q866" s="143"/>
      <c r="R866" s="143"/>
      <c r="S866" s="143"/>
      <c r="T866" s="143"/>
      <c r="U866" s="143"/>
      <c r="V866" s="143"/>
      <c r="W866" s="143"/>
      <c r="X866" s="143"/>
      <c r="Y866" s="143"/>
      <c r="Z866" s="143"/>
    </row>
    <row r="867" spans="1:26" ht="24.75">
      <c r="A867" s="143"/>
      <c r="B867" s="140"/>
      <c r="C867" s="141"/>
      <c r="D867" s="153"/>
      <c r="E867" s="142"/>
      <c r="F867" s="143"/>
      <c r="G867" s="152"/>
      <c r="H867" s="152"/>
      <c r="I867" s="143"/>
      <c r="J867" s="143"/>
      <c r="K867" s="143"/>
      <c r="L867" s="143"/>
      <c r="M867" s="143"/>
      <c r="N867" s="143"/>
      <c r="O867" s="143"/>
      <c r="P867" s="143"/>
      <c r="Q867" s="143"/>
      <c r="R867" s="143"/>
      <c r="S867" s="143"/>
      <c r="T867" s="143"/>
      <c r="U867" s="143"/>
      <c r="V867" s="143"/>
      <c r="W867" s="143"/>
      <c r="X867" s="143"/>
      <c r="Y867" s="143"/>
      <c r="Z867" s="143"/>
    </row>
    <row r="868" spans="1:26" ht="24.75">
      <c r="A868" s="143"/>
      <c r="B868" s="140"/>
      <c r="C868" s="141"/>
      <c r="D868" s="153"/>
      <c r="E868" s="142"/>
      <c r="F868" s="143"/>
      <c r="G868" s="150"/>
      <c r="H868" s="150"/>
      <c r="I868" s="143"/>
      <c r="J868" s="143"/>
      <c r="K868" s="143"/>
      <c r="L868" s="143"/>
      <c r="M868" s="143"/>
      <c r="N868" s="143"/>
      <c r="O868" s="143"/>
      <c r="P868" s="143"/>
      <c r="Q868" s="143"/>
      <c r="R868" s="143"/>
      <c r="S868" s="143"/>
      <c r="T868" s="143"/>
      <c r="U868" s="143"/>
      <c r="V868" s="143"/>
      <c r="W868" s="143"/>
      <c r="X868" s="143"/>
      <c r="Y868" s="143"/>
      <c r="Z868" s="143"/>
    </row>
    <row r="869" spans="1:26" ht="24.75">
      <c r="A869" s="143"/>
      <c r="B869" s="140"/>
      <c r="C869" s="141"/>
      <c r="D869" s="153"/>
      <c r="E869" s="142"/>
      <c r="F869" s="143"/>
      <c r="G869" s="152"/>
      <c r="H869" s="152"/>
      <c r="I869" s="143"/>
      <c r="J869" s="143"/>
      <c r="K869" s="143"/>
      <c r="L869" s="143"/>
      <c r="M869" s="143"/>
      <c r="N869" s="143"/>
      <c r="O869" s="143"/>
      <c r="P869" s="143"/>
      <c r="Q869" s="143"/>
      <c r="R869" s="143"/>
      <c r="S869" s="143"/>
      <c r="T869" s="143"/>
      <c r="U869" s="143"/>
      <c r="V869" s="143"/>
      <c r="W869" s="143"/>
      <c r="X869" s="143"/>
      <c r="Y869" s="143"/>
      <c r="Z869" s="143"/>
    </row>
    <row r="870" spans="1:26" ht="24.75">
      <c r="A870" s="143"/>
      <c r="B870" s="140"/>
      <c r="C870" s="141"/>
      <c r="D870" s="153"/>
      <c r="E870" s="142"/>
      <c r="F870" s="143"/>
      <c r="G870" s="150"/>
      <c r="H870" s="150"/>
      <c r="I870" s="143"/>
      <c r="J870" s="143"/>
      <c r="K870" s="143"/>
      <c r="L870" s="143"/>
      <c r="M870" s="143"/>
      <c r="N870" s="143"/>
      <c r="O870" s="143"/>
      <c r="P870" s="143"/>
      <c r="Q870" s="143"/>
      <c r="R870" s="143"/>
      <c r="S870" s="143"/>
      <c r="T870" s="143"/>
      <c r="U870" s="143"/>
      <c r="V870" s="143"/>
      <c r="W870" s="143"/>
      <c r="X870" s="143"/>
      <c r="Y870" s="143"/>
      <c r="Z870" s="143"/>
    </row>
    <row r="871" spans="1:26" ht="24.75">
      <c r="A871" s="143"/>
      <c r="B871" s="140"/>
      <c r="C871" s="141"/>
      <c r="D871" s="153"/>
      <c r="E871" s="142"/>
      <c r="F871" s="143"/>
      <c r="G871" s="152"/>
      <c r="H871" s="152"/>
      <c r="I871" s="143"/>
      <c r="J871" s="143"/>
      <c r="K871" s="143"/>
      <c r="L871" s="143"/>
      <c r="M871" s="143"/>
      <c r="N871" s="143"/>
      <c r="O871" s="143"/>
      <c r="P871" s="143"/>
      <c r="Q871" s="143"/>
      <c r="R871" s="143"/>
      <c r="S871" s="143"/>
      <c r="T871" s="143"/>
      <c r="U871" s="143"/>
      <c r="V871" s="143"/>
      <c r="W871" s="143"/>
      <c r="X871" s="143"/>
      <c r="Y871" s="143"/>
      <c r="Z871" s="143"/>
    </row>
    <row r="872" spans="1:26" ht="24.75">
      <c r="A872" s="143"/>
      <c r="B872" s="140"/>
      <c r="C872" s="141"/>
      <c r="D872" s="153"/>
      <c r="E872" s="142"/>
      <c r="F872" s="143"/>
      <c r="G872" s="150"/>
      <c r="H872" s="150"/>
      <c r="I872" s="143"/>
      <c r="J872" s="143"/>
      <c r="K872" s="143"/>
      <c r="L872" s="143"/>
      <c r="M872" s="143"/>
      <c r="N872" s="143"/>
      <c r="O872" s="143"/>
      <c r="P872" s="143"/>
      <c r="Q872" s="143"/>
      <c r="R872" s="143"/>
      <c r="S872" s="143"/>
      <c r="T872" s="143"/>
      <c r="U872" s="143"/>
      <c r="V872" s="143"/>
      <c r="W872" s="143"/>
      <c r="X872" s="143"/>
      <c r="Y872" s="143"/>
      <c r="Z872" s="143"/>
    </row>
    <row r="873" spans="1:26" ht="24.75">
      <c r="A873" s="143"/>
      <c r="B873" s="140"/>
      <c r="C873" s="141"/>
      <c r="D873" s="153"/>
      <c r="E873" s="142"/>
      <c r="F873" s="143"/>
      <c r="G873" s="152"/>
      <c r="H873" s="152"/>
      <c r="I873" s="143"/>
      <c r="J873" s="143"/>
      <c r="K873" s="143"/>
      <c r="L873" s="143"/>
      <c r="M873" s="143"/>
      <c r="N873" s="143"/>
      <c r="O873" s="143"/>
      <c r="P873" s="143"/>
      <c r="Q873" s="143"/>
      <c r="R873" s="143"/>
      <c r="S873" s="143"/>
      <c r="T873" s="143"/>
      <c r="U873" s="143"/>
      <c r="V873" s="143"/>
      <c r="W873" s="143"/>
      <c r="X873" s="143"/>
      <c r="Y873" s="143"/>
      <c r="Z873" s="143"/>
    </row>
    <row r="874" spans="1:26" ht="24.75">
      <c r="A874" s="143"/>
      <c r="B874" s="140"/>
      <c r="C874" s="141"/>
      <c r="D874" s="153"/>
      <c r="E874" s="142"/>
      <c r="F874" s="143"/>
      <c r="G874" s="150"/>
      <c r="H874" s="150"/>
      <c r="I874" s="143"/>
      <c r="J874" s="143"/>
      <c r="K874" s="143"/>
      <c r="L874" s="143"/>
      <c r="M874" s="143"/>
      <c r="N874" s="143"/>
      <c r="O874" s="143"/>
      <c r="P874" s="143"/>
      <c r="Q874" s="143"/>
      <c r="R874" s="143"/>
      <c r="S874" s="143"/>
      <c r="T874" s="143"/>
      <c r="U874" s="143"/>
      <c r="V874" s="143"/>
      <c r="W874" s="143"/>
      <c r="X874" s="143"/>
      <c r="Y874" s="143"/>
      <c r="Z874" s="143"/>
    </row>
    <row r="875" spans="1:26" ht="24.75">
      <c r="A875" s="143"/>
      <c r="B875" s="140"/>
      <c r="C875" s="141"/>
      <c r="D875" s="153"/>
      <c r="E875" s="142"/>
      <c r="F875" s="143"/>
      <c r="G875" s="152"/>
      <c r="H875" s="152"/>
      <c r="I875" s="143"/>
      <c r="J875" s="143"/>
      <c r="K875" s="143"/>
      <c r="L875" s="143"/>
      <c r="M875" s="143"/>
      <c r="N875" s="143"/>
      <c r="O875" s="143"/>
      <c r="P875" s="143"/>
      <c r="Q875" s="143"/>
      <c r="R875" s="143"/>
      <c r="S875" s="143"/>
      <c r="T875" s="143"/>
      <c r="U875" s="143"/>
      <c r="V875" s="143"/>
      <c r="W875" s="143"/>
      <c r="X875" s="143"/>
      <c r="Y875" s="143"/>
      <c r="Z875" s="143"/>
    </row>
    <row r="876" spans="1:26" ht="24.75">
      <c r="A876" s="143"/>
      <c r="B876" s="140"/>
      <c r="C876" s="141"/>
      <c r="D876" s="153"/>
      <c r="E876" s="142"/>
      <c r="F876" s="143"/>
      <c r="G876" s="150"/>
      <c r="H876" s="150"/>
      <c r="I876" s="143"/>
      <c r="J876" s="143"/>
      <c r="K876" s="143"/>
      <c r="L876" s="143"/>
      <c r="M876" s="143"/>
      <c r="N876" s="143"/>
      <c r="O876" s="143"/>
      <c r="P876" s="143"/>
      <c r="Q876" s="143"/>
      <c r="R876" s="143"/>
      <c r="S876" s="143"/>
      <c r="T876" s="143"/>
      <c r="U876" s="143"/>
      <c r="V876" s="143"/>
      <c r="W876" s="143"/>
      <c r="X876" s="143"/>
      <c r="Y876" s="143"/>
      <c r="Z876" s="143"/>
    </row>
    <row r="877" spans="1:26" ht="24.75">
      <c r="A877" s="143"/>
      <c r="B877" s="140"/>
      <c r="C877" s="141"/>
      <c r="D877" s="153"/>
      <c r="E877" s="142"/>
      <c r="F877" s="143"/>
      <c r="G877" s="152"/>
      <c r="H877" s="152"/>
      <c r="I877" s="143"/>
      <c r="J877" s="143"/>
      <c r="K877" s="143"/>
      <c r="L877" s="143"/>
      <c r="M877" s="143"/>
      <c r="N877" s="143"/>
      <c r="O877" s="143"/>
      <c r="P877" s="143"/>
      <c r="Q877" s="143"/>
      <c r="R877" s="143"/>
      <c r="S877" s="143"/>
      <c r="T877" s="143"/>
      <c r="U877" s="143"/>
      <c r="V877" s="143"/>
      <c r="W877" s="143"/>
      <c r="X877" s="143"/>
      <c r="Y877" s="143"/>
      <c r="Z877" s="143"/>
    </row>
    <row r="878" spans="1:26" ht="24.75">
      <c r="A878" s="143"/>
      <c r="B878" s="140"/>
      <c r="C878" s="141"/>
      <c r="D878" s="153"/>
      <c r="E878" s="142"/>
      <c r="F878" s="143"/>
      <c r="G878" s="150"/>
      <c r="H878" s="150"/>
      <c r="I878" s="143"/>
      <c r="J878" s="143"/>
      <c r="K878" s="143"/>
      <c r="L878" s="143"/>
      <c r="M878" s="143"/>
      <c r="N878" s="143"/>
      <c r="O878" s="143"/>
      <c r="P878" s="143"/>
      <c r="Q878" s="143"/>
      <c r="R878" s="143"/>
      <c r="S878" s="143"/>
      <c r="T878" s="143"/>
      <c r="U878" s="143"/>
      <c r="V878" s="143"/>
      <c r="W878" s="143"/>
      <c r="X878" s="143"/>
      <c r="Y878" s="143"/>
      <c r="Z878" s="143"/>
    </row>
    <row r="879" spans="1:26" ht="24.75">
      <c r="A879" s="143"/>
      <c r="B879" s="140"/>
      <c r="C879" s="141"/>
      <c r="D879" s="153"/>
      <c r="E879" s="142"/>
      <c r="F879" s="143"/>
      <c r="G879" s="152"/>
      <c r="H879" s="152"/>
      <c r="I879" s="143"/>
      <c r="J879" s="143"/>
      <c r="K879" s="143"/>
      <c r="L879" s="143"/>
      <c r="M879" s="143"/>
      <c r="N879" s="143"/>
      <c r="O879" s="143"/>
      <c r="P879" s="143"/>
      <c r="Q879" s="143"/>
      <c r="R879" s="143"/>
      <c r="S879" s="143"/>
      <c r="T879" s="143"/>
      <c r="U879" s="143"/>
      <c r="V879" s="143"/>
      <c r="W879" s="143"/>
      <c r="X879" s="143"/>
      <c r="Y879" s="143"/>
      <c r="Z879" s="143"/>
    </row>
    <row r="880" spans="1:26" ht="24.75">
      <c r="A880" s="143"/>
      <c r="B880" s="140"/>
      <c r="C880" s="141"/>
      <c r="D880" s="153"/>
      <c r="E880" s="142"/>
      <c r="F880" s="143"/>
      <c r="G880" s="150"/>
      <c r="H880" s="150"/>
      <c r="I880" s="143"/>
      <c r="J880" s="143"/>
      <c r="K880" s="143"/>
      <c r="L880" s="143"/>
      <c r="M880" s="143"/>
      <c r="N880" s="143"/>
      <c r="O880" s="143"/>
      <c r="P880" s="143"/>
      <c r="Q880" s="143"/>
      <c r="R880" s="143"/>
      <c r="S880" s="143"/>
      <c r="T880" s="143"/>
      <c r="U880" s="143"/>
      <c r="V880" s="143"/>
      <c r="W880" s="143"/>
      <c r="X880" s="143"/>
      <c r="Y880" s="143"/>
      <c r="Z880" s="143"/>
    </row>
    <row r="881" spans="1:26" ht="24.75">
      <c r="A881" s="143"/>
      <c r="B881" s="140"/>
      <c r="C881" s="141"/>
      <c r="D881" s="153"/>
      <c r="E881" s="142"/>
      <c r="F881" s="143"/>
      <c r="G881" s="152"/>
      <c r="H881" s="152"/>
      <c r="I881" s="143"/>
      <c r="J881" s="143"/>
      <c r="K881" s="143"/>
      <c r="L881" s="143"/>
      <c r="M881" s="143"/>
      <c r="N881" s="143"/>
      <c r="O881" s="143"/>
      <c r="P881" s="143"/>
      <c r="Q881" s="143"/>
      <c r="R881" s="143"/>
      <c r="S881" s="143"/>
      <c r="T881" s="143"/>
      <c r="U881" s="143"/>
      <c r="V881" s="143"/>
      <c r="W881" s="143"/>
      <c r="X881" s="143"/>
      <c r="Y881" s="143"/>
      <c r="Z881" s="143"/>
    </row>
    <row r="882" spans="1:26" ht="24.75">
      <c r="A882" s="143"/>
      <c r="B882" s="140"/>
      <c r="C882" s="141"/>
      <c r="D882" s="153"/>
      <c r="E882" s="142"/>
      <c r="F882" s="143"/>
      <c r="G882" s="150"/>
      <c r="H882" s="150"/>
      <c r="I882" s="143"/>
      <c r="J882" s="143"/>
      <c r="K882" s="143"/>
      <c r="L882" s="143"/>
      <c r="M882" s="143"/>
      <c r="N882" s="143"/>
      <c r="O882" s="143"/>
      <c r="P882" s="143"/>
      <c r="Q882" s="143"/>
      <c r="R882" s="143"/>
      <c r="S882" s="143"/>
      <c r="T882" s="143"/>
      <c r="U882" s="143"/>
      <c r="V882" s="143"/>
      <c r="W882" s="143"/>
      <c r="X882" s="143"/>
      <c r="Y882" s="143"/>
      <c r="Z882" s="143"/>
    </row>
    <row r="883" spans="1:26" ht="24.75">
      <c r="A883" s="143"/>
      <c r="B883" s="140"/>
      <c r="C883" s="141"/>
      <c r="D883" s="153"/>
      <c r="E883" s="142"/>
      <c r="F883" s="143"/>
      <c r="G883" s="152"/>
      <c r="H883" s="152"/>
      <c r="I883" s="143"/>
      <c r="J883" s="143"/>
      <c r="K883" s="143"/>
      <c r="L883" s="143"/>
      <c r="M883" s="143"/>
      <c r="N883" s="143"/>
      <c r="O883" s="143"/>
      <c r="P883" s="143"/>
      <c r="Q883" s="143"/>
      <c r="R883" s="143"/>
      <c r="S883" s="143"/>
      <c r="T883" s="143"/>
      <c r="U883" s="143"/>
      <c r="V883" s="143"/>
      <c r="W883" s="143"/>
      <c r="X883" s="143"/>
      <c r="Y883" s="143"/>
      <c r="Z883" s="143"/>
    </row>
    <row r="884" spans="1:26" ht="24.75">
      <c r="A884" s="143"/>
      <c r="B884" s="140"/>
      <c r="C884" s="141"/>
      <c r="D884" s="153"/>
      <c r="E884" s="142"/>
      <c r="F884" s="143"/>
      <c r="G884" s="150"/>
      <c r="H884" s="150"/>
      <c r="I884" s="143"/>
      <c r="J884" s="143"/>
      <c r="K884" s="143"/>
      <c r="L884" s="143"/>
      <c r="M884" s="143"/>
      <c r="N884" s="143"/>
      <c r="O884" s="143"/>
      <c r="P884" s="143"/>
      <c r="Q884" s="143"/>
      <c r="R884" s="143"/>
      <c r="S884" s="143"/>
      <c r="T884" s="143"/>
      <c r="U884" s="143"/>
      <c r="V884" s="143"/>
      <c r="W884" s="143"/>
      <c r="X884" s="143"/>
      <c r="Y884" s="143"/>
      <c r="Z884" s="143"/>
    </row>
    <row r="885" spans="1:26" ht="24.75">
      <c r="A885" s="143"/>
      <c r="B885" s="140"/>
      <c r="C885" s="141"/>
      <c r="D885" s="153"/>
      <c r="E885" s="142"/>
      <c r="F885" s="143"/>
      <c r="G885" s="152"/>
      <c r="H885" s="152"/>
      <c r="I885" s="143"/>
      <c r="J885" s="143"/>
      <c r="K885" s="143"/>
      <c r="L885" s="143"/>
      <c r="M885" s="143"/>
      <c r="N885" s="143"/>
      <c r="O885" s="143"/>
      <c r="P885" s="143"/>
      <c r="Q885" s="143"/>
      <c r="R885" s="143"/>
      <c r="S885" s="143"/>
      <c r="T885" s="143"/>
      <c r="U885" s="143"/>
      <c r="V885" s="143"/>
      <c r="W885" s="143"/>
      <c r="X885" s="143"/>
      <c r="Y885" s="143"/>
      <c r="Z885" s="143"/>
    </row>
    <row r="886" spans="1:26" ht="24.75">
      <c r="A886" s="143"/>
      <c r="B886" s="140"/>
      <c r="C886" s="141"/>
      <c r="D886" s="153"/>
      <c r="E886" s="142"/>
      <c r="F886" s="143"/>
      <c r="G886" s="150"/>
      <c r="H886" s="150"/>
      <c r="I886" s="143"/>
      <c r="J886" s="143"/>
      <c r="K886" s="143"/>
      <c r="L886" s="143"/>
      <c r="M886" s="143"/>
      <c r="N886" s="143"/>
      <c r="O886" s="143"/>
      <c r="P886" s="143"/>
      <c r="Q886" s="143"/>
      <c r="R886" s="143"/>
      <c r="S886" s="143"/>
      <c r="T886" s="143"/>
      <c r="U886" s="143"/>
      <c r="V886" s="143"/>
      <c r="W886" s="143"/>
      <c r="X886" s="143"/>
      <c r="Y886" s="143"/>
      <c r="Z886" s="143"/>
    </row>
    <row r="887" spans="1:26" ht="24.75">
      <c r="A887" s="143"/>
      <c r="B887" s="140"/>
      <c r="C887" s="141"/>
      <c r="D887" s="153"/>
      <c r="E887" s="142"/>
      <c r="F887" s="143"/>
      <c r="G887" s="152"/>
      <c r="H887" s="152"/>
      <c r="I887" s="143"/>
      <c r="J887" s="143"/>
      <c r="K887" s="143"/>
      <c r="L887" s="143"/>
      <c r="M887" s="143"/>
      <c r="N887" s="143"/>
      <c r="O887" s="143"/>
      <c r="P887" s="143"/>
      <c r="Q887" s="143"/>
      <c r="R887" s="143"/>
      <c r="S887" s="143"/>
      <c r="T887" s="143"/>
      <c r="U887" s="143"/>
      <c r="V887" s="143"/>
      <c r="W887" s="143"/>
      <c r="X887" s="143"/>
      <c r="Y887" s="143"/>
      <c r="Z887" s="143"/>
    </row>
    <row r="888" spans="1:26" ht="24.75">
      <c r="A888" s="143"/>
      <c r="B888" s="140"/>
      <c r="C888" s="141"/>
      <c r="D888" s="153"/>
      <c r="E888" s="142"/>
      <c r="F888" s="143"/>
      <c r="G888" s="150"/>
      <c r="H888" s="150"/>
      <c r="I888" s="143"/>
      <c r="J888" s="143"/>
      <c r="K888" s="143"/>
      <c r="L888" s="143"/>
      <c r="M888" s="143"/>
      <c r="N888" s="143"/>
      <c r="O888" s="143"/>
      <c r="P888" s="143"/>
      <c r="Q888" s="143"/>
      <c r="R888" s="143"/>
      <c r="S888" s="143"/>
      <c r="T888" s="143"/>
      <c r="U888" s="143"/>
      <c r="V888" s="143"/>
      <c r="W888" s="143"/>
      <c r="X888" s="143"/>
      <c r="Y888" s="143"/>
      <c r="Z888" s="143"/>
    </row>
    <row r="889" spans="1:26" ht="24.75">
      <c r="A889" s="143"/>
      <c r="B889" s="140"/>
      <c r="C889" s="141"/>
      <c r="D889" s="153"/>
      <c r="E889" s="142"/>
      <c r="F889" s="143"/>
      <c r="G889" s="152"/>
      <c r="H889" s="152"/>
      <c r="I889" s="143"/>
      <c r="J889" s="143"/>
      <c r="K889" s="143"/>
      <c r="L889" s="143"/>
      <c r="M889" s="143"/>
      <c r="N889" s="143"/>
      <c r="O889" s="143"/>
      <c r="P889" s="143"/>
      <c r="Q889" s="143"/>
      <c r="R889" s="143"/>
      <c r="S889" s="143"/>
      <c r="T889" s="143"/>
      <c r="U889" s="143"/>
      <c r="V889" s="143"/>
      <c r="W889" s="143"/>
      <c r="X889" s="143"/>
      <c r="Y889" s="143"/>
      <c r="Z889" s="143"/>
    </row>
    <row r="890" spans="1:26" ht="24.75">
      <c r="A890" s="143"/>
      <c r="B890" s="140"/>
      <c r="C890" s="141"/>
      <c r="D890" s="153"/>
      <c r="E890" s="142"/>
      <c r="F890" s="143"/>
      <c r="G890" s="150"/>
      <c r="H890" s="150"/>
      <c r="I890" s="143"/>
      <c r="J890" s="143"/>
      <c r="K890" s="143"/>
      <c r="L890" s="143"/>
      <c r="M890" s="143"/>
      <c r="N890" s="143"/>
      <c r="O890" s="143"/>
      <c r="P890" s="143"/>
      <c r="Q890" s="143"/>
      <c r="R890" s="143"/>
      <c r="S890" s="143"/>
      <c r="T890" s="143"/>
      <c r="U890" s="143"/>
      <c r="V890" s="143"/>
      <c r="W890" s="143"/>
      <c r="X890" s="143"/>
      <c r="Y890" s="143"/>
      <c r="Z890" s="143"/>
    </row>
    <row r="891" spans="1:26" ht="24.75">
      <c r="A891" s="143"/>
      <c r="B891" s="140"/>
      <c r="C891" s="141"/>
      <c r="D891" s="153"/>
      <c r="E891" s="142"/>
      <c r="F891" s="143"/>
      <c r="G891" s="152"/>
      <c r="H891" s="152"/>
      <c r="I891" s="143"/>
      <c r="J891" s="143"/>
      <c r="K891" s="143"/>
      <c r="L891" s="143"/>
      <c r="M891" s="143"/>
      <c r="N891" s="143"/>
      <c r="O891" s="143"/>
      <c r="P891" s="143"/>
      <c r="Q891" s="143"/>
      <c r="R891" s="143"/>
      <c r="S891" s="143"/>
      <c r="T891" s="143"/>
      <c r="U891" s="143"/>
      <c r="V891" s="143"/>
      <c r="W891" s="143"/>
      <c r="X891" s="143"/>
      <c r="Y891" s="143"/>
      <c r="Z891" s="143"/>
    </row>
    <row r="892" spans="1:26" ht="24.75">
      <c r="A892" s="143"/>
      <c r="B892" s="140"/>
      <c r="C892" s="141"/>
      <c r="D892" s="153"/>
      <c r="E892" s="142"/>
      <c r="F892" s="143"/>
      <c r="G892" s="150"/>
      <c r="H892" s="150"/>
      <c r="I892" s="143"/>
      <c r="J892" s="143"/>
      <c r="K892" s="143"/>
      <c r="L892" s="143"/>
      <c r="M892" s="143"/>
      <c r="N892" s="143"/>
      <c r="O892" s="143"/>
      <c r="P892" s="143"/>
      <c r="Q892" s="143"/>
      <c r="R892" s="143"/>
      <c r="S892" s="143"/>
      <c r="T892" s="143"/>
      <c r="U892" s="143"/>
      <c r="V892" s="143"/>
      <c r="W892" s="143"/>
      <c r="X892" s="143"/>
      <c r="Y892" s="143"/>
      <c r="Z892" s="143"/>
    </row>
    <row r="893" spans="1:26" ht="24.75">
      <c r="A893" s="143"/>
      <c r="B893" s="140"/>
      <c r="C893" s="141"/>
      <c r="D893" s="153"/>
      <c r="E893" s="142"/>
      <c r="F893" s="143"/>
      <c r="G893" s="152"/>
      <c r="H893" s="152"/>
      <c r="I893" s="143"/>
      <c r="J893" s="143"/>
      <c r="K893" s="143"/>
      <c r="L893" s="143"/>
      <c r="M893" s="143"/>
      <c r="N893" s="143"/>
      <c r="O893" s="143"/>
      <c r="P893" s="143"/>
      <c r="Q893" s="143"/>
      <c r="R893" s="143"/>
      <c r="S893" s="143"/>
      <c r="T893" s="143"/>
      <c r="U893" s="143"/>
      <c r="V893" s="143"/>
      <c r="W893" s="143"/>
      <c r="X893" s="143"/>
      <c r="Y893" s="143"/>
      <c r="Z893" s="143"/>
    </row>
    <row r="894" spans="1:26" ht="24.75">
      <c r="A894" s="143"/>
      <c r="B894" s="140"/>
      <c r="C894" s="141"/>
      <c r="D894" s="153"/>
      <c r="E894" s="142"/>
      <c r="F894" s="143"/>
      <c r="G894" s="150"/>
      <c r="H894" s="150"/>
      <c r="I894" s="143"/>
      <c r="J894" s="143"/>
      <c r="K894" s="143"/>
      <c r="L894" s="143"/>
      <c r="M894" s="143"/>
      <c r="N894" s="143"/>
      <c r="O894" s="143"/>
      <c r="P894" s="143"/>
      <c r="Q894" s="143"/>
      <c r="R894" s="143"/>
      <c r="S894" s="143"/>
      <c r="T894" s="143"/>
      <c r="U894" s="143"/>
      <c r="V894" s="143"/>
      <c r="W894" s="143"/>
      <c r="X894" s="143"/>
      <c r="Y894" s="143"/>
      <c r="Z894" s="143"/>
    </row>
    <row r="895" spans="1:26" ht="24.75">
      <c r="A895" s="143"/>
      <c r="B895" s="140"/>
      <c r="C895" s="141"/>
      <c r="D895" s="153"/>
      <c r="E895" s="142"/>
      <c r="F895" s="143"/>
      <c r="G895" s="152"/>
      <c r="H895" s="152"/>
      <c r="I895" s="143"/>
      <c r="J895" s="143"/>
      <c r="K895" s="143"/>
      <c r="L895" s="143"/>
      <c r="M895" s="143"/>
      <c r="N895" s="143"/>
      <c r="O895" s="143"/>
      <c r="P895" s="143"/>
      <c r="Q895" s="143"/>
      <c r="R895" s="143"/>
      <c r="S895" s="143"/>
      <c r="T895" s="143"/>
      <c r="U895" s="143"/>
      <c r="V895" s="143"/>
      <c r="W895" s="143"/>
      <c r="X895" s="143"/>
      <c r="Y895" s="143"/>
      <c r="Z895" s="143"/>
    </row>
    <row r="896" spans="1:26" ht="24.75">
      <c r="A896" s="143"/>
      <c r="B896" s="140"/>
      <c r="C896" s="141"/>
      <c r="D896" s="153"/>
      <c r="E896" s="142"/>
      <c r="F896" s="143"/>
      <c r="G896" s="150"/>
      <c r="H896" s="150"/>
      <c r="I896" s="143"/>
      <c r="J896" s="143"/>
      <c r="K896" s="143"/>
      <c r="L896" s="143"/>
      <c r="M896" s="143"/>
      <c r="N896" s="143"/>
      <c r="O896" s="143"/>
      <c r="P896" s="143"/>
      <c r="Q896" s="143"/>
      <c r="R896" s="143"/>
      <c r="S896" s="143"/>
      <c r="T896" s="143"/>
      <c r="U896" s="143"/>
      <c r="V896" s="143"/>
      <c r="W896" s="143"/>
      <c r="X896" s="143"/>
      <c r="Y896" s="143"/>
      <c r="Z896" s="143"/>
    </row>
    <row r="897" spans="1:26" ht="24.75">
      <c r="A897" s="143"/>
      <c r="B897" s="140"/>
      <c r="C897" s="141"/>
      <c r="D897" s="153"/>
      <c r="E897" s="142"/>
      <c r="F897" s="143"/>
      <c r="G897" s="152"/>
      <c r="H897" s="152"/>
      <c r="I897" s="143"/>
      <c r="J897" s="143"/>
      <c r="K897" s="143"/>
      <c r="L897" s="143"/>
      <c r="M897" s="143"/>
      <c r="N897" s="143"/>
      <c r="O897" s="143"/>
      <c r="P897" s="143"/>
      <c r="Q897" s="143"/>
      <c r="R897" s="143"/>
      <c r="S897" s="143"/>
      <c r="T897" s="143"/>
      <c r="U897" s="143"/>
      <c r="V897" s="143"/>
      <c r="W897" s="143"/>
      <c r="X897" s="143"/>
      <c r="Y897" s="143"/>
      <c r="Z897" s="143"/>
    </row>
    <row r="898" spans="1:26" ht="24.75">
      <c r="A898" s="143"/>
      <c r="B898" s="140"/>
      <c r="C898" s="141"/>
      <c r="D898" s="153"/>
      <c r="E898" s="142"/>
      <c r="F898" s="143"/>
      <c r="G898" s="150"/>
      <c r="H898" s="150"/>
      <c r="I898" s="143"/>
      <c r="J898" s="143"/>
      <c r="K898" s="143"/>
      <c r="L898" s="143"/>
      <c r="M898" s="143"/>
      <c r="N898" s="143"/>
      <c r="O898" s="143"/>
      <c r="P898" s="143"/>
      <c r="Q898" s="143"/>
      <c r="R898" s="143"/>
      <c r="S898" s="143"/>
      <c r="T898" s="143"/>
      <c r="U898" s="143"/>
      <c r="V898" s="143"/>
      <c r="W898" s="143"/>
      <c r="X898" s="143"/>
      <c r="Y898" s="143"/>
      <c r="Z898" s="143"/>
    </row>
    <row r="899" spans="1:26" ht="24.75">
      <c r="A899" s="143"/>
      <c r="B899" s="140"/>
      <c r="C899" s="141"/>
      <c r="D899" s="153"/>
      <c r="E899" s="142"/>
      <c r="F899" s="143"/>
      <c r="G899" s="152"/>
      <c r="H899" s="152"/>
      <c r="I899" s="143"/>
      <c r="J899" s="143"/>
      <c r="K899" s="143"/>
      <c r="L899" s="143"/>
      <c r="M899" s="143"/>
      <c r="N899" s="143"/>
      <c r="O899" s="143"/>
      <c r="P899" s="143"/>
      <c r="Q899" s="143"/>
      <c r="R899" s="143"/>
      <c r="S899" s="143"/>
      <c r="T899" s="143"/>
      <c r="U899" s="143"/>
      <c r="V899" s="143"/>
      <c r="W899" s="143"/>
      <c r="X899" s="143"/>
      <c r="Y899" s="143"/>
      <c r="Z899" s="143"/>
    </row>
    <row r="900" spans="1:26" ht="24.75">
      <c r="A900" s="143"/>
      <c r="B900" s="140"/>
      <c r="C900" s="141"/>
      <c r="D900" s="153"/>
      <c r="E900" s="142"/>
      <c r="F900" s="143"/>
      <c r="G900" s="150"/>
      <c r="H900" s="150"/>
      <c r="I900" s="143"/>
      <c r="J900" s="143"/>
      <c r="K900" s="143"/>
      <c r="L900" s="143"/>
      <c r="M900" s="143"/>
      <c r="N900" s="143"/>
      <c r="O900" s="143"/>
      <c r="P900" s="143"/>
      <c r="Q900" s="143"/>
      <c r="R900" s="143"/>
      <c r="S900" s="143"/>
      <c r="T900" s="143"/>
      <c r="U900" s="143"/>
      <c r="V900" s="143"/>
      <c r="W900" s="143"/>
      <c r="X900" s="143"/>
      <c r="Y900" s="143"/>
      <c r="Z900" s="143"/>
    </row>
    <row r="901" spans="1:26" ht="24.75">
      <c r="A901" s="143"/>
      <c r="B901" s="140"/>
      <c r="C901" s="141"/>
      <c r="D901" s="153"/>
      <c r="E901" s="142"/>
      <c r="F901" s="143"/>
      <c r="G901" s="152"/>
      <c r="H901" s="152"/>
      <c r="I901" s="143"/>
      <c r="J901" s="143"/>
      <c r="K901" s="143"/>
      <c r="L901" s="143"/>
      <c r="M901" s="143"/>
      <c r="N901" s="143"/>
      <c r="O901" s="143"/>
      <c r="P901" s="143"/>
      <c r="Q901" s="143"/>
      <c r="R901" s="143"/>
      <c r="S901" s="143"/>
      <c r="T901" s="143"/>
      <c r="U901" s="143"/>
      <c r="V901" s="143"/>
      <c r="W901" s="143"/>
      <c r="X901" s="143"/>
      <c r="Y901" s="143"/>
      <c r="Z901" s="143"/>
    </row>
    <row r="902" spans="1:26" ht="24.75">
      <c r="A902" s="143"/>
      <c r="B902" s="140"/>
      <c r="C902" s="141"/>
      <c r="D902" s="153"/>
      <c r="E902" s="142"/>
      <c r="F902" s="143"/>
      <c r="G902" s="150"/>
      <c r="H902" s="150"/>
      <c r="I902" s="143"/>
      <c r="J902" s="143"/>
      <c r="K902" s="143"/>
      <c r="L902" s="143"/>
      <c r="M902" s="143"/>
      <c r="N902" s="143"/>
      <c r="O902" s="143"/>
      <c r="P902" s="143"/>
      <c r="Q902" s="143"/>
      <c r="R902" s="143"/>
      <c r="S902" s="143"/>
      <c r="T902" s="143"/>
      <c r="U902" s="143"/>
      <c r="V902" s="143"/>
      <c r="W902" s="143"/>
      <c r="X902" s="143"/>
      <c r="Y902" s="143"/>
      <c r="Z902" s="143"/>
    </row>
    <row r="903" spans="1:26" ht="24.75">
      <c r="A903" s="143"/>
      <c r="B903" s="140"/>
      <c r="C903" s="141"/>
      <c r="D903" s="153"/>
      <c r="E903" s="142"/>
      <c r="F903" s="143"/>
      <c r="G903" s="152"/>
      <c r="H903" s="152"/>
      <c r="I903" s="143"/>
      <c r="J903" s="143"/>
      <c r="K903" s="143"/>
      <c r="L903" s="143"/>
      <c r="M903" s="143"/>
      <c r="N903" s="143"/>
      <c r="O903" s="143"/>
      <c r="P903" s="143"/>
      <c r="Q903" s="143"/>
      <c r="R903" s="143"/>
      <c r="S903" s="143"/>
      <c r="T903" s="143"/>
      <c r="U903" s="143"/>
      <c r="V903" s="143"/>
      <c r="W903" s="143"/>
      <c r="X903" s="143"/>
      <c r="Y903" s="143"/>
      <c r="Z903" s="143"/>
    </row>
    <row r="904" spans="1:26" ht="24.75">
      <c r="A904" s="143"/>
      <c r="B904" s="140"/>
      <c r="C904" s="141"/>
      <c r="D904" s="153"/>
      <c r="E904" s="142"/>
      <c r="F904" s="143"/>
      <c r="G904" s="150"/>
      <c r="H904" s="150"/>
      <c r="I904" s="143"/>
      <c r="J904" s="143"/>
      <c r="K904" s="143"/>
      <c r="L904" s="143"/>
      <c r="M904" s="143"/>
      <c r="N904" s="143"/>
      <c r="O904" s="143"/>
      <c r="P904" s="143"/>
      <c r="Q904" s="143"/>
      <c r="R904" s="143"/>
      <c r="S904" s="143"/>
      <c r="T904" s="143"/>
      <c r="U904" s="143"/>
      <c r="V904" s="143"/>
      <c r="W904" s="143"/>
      <c r="X904" s="143"/>
      <c r="Y904" s="143"/>
      <c r="Z904" s="143"/>
    </row>
    <row r="905" spans="1:26" ht="24.75">
      <c r="A905" s="143"/>
      <c r="B905" s="140"/>
      <c r="C905" s="141"/>
      <c r="D905" s="153"/>
      <c r="E905" s="142"/>
      <c r="F905" s="143"/>
      <c r="G905" s="152"/>
      <c r="H905" s="152"/>
      <c r="I905" s="143"/>
      <c r="J905" s="143"/>
      <c r="K905" s="143"/>
      <c r="L905" s="143"/>
      <c r="M905" s="143"/>
      <c r="N905" s="143"/>
      <c r="O905" s="143"/>
      <c r="P905" s="143"/>
      <c r="Q905" s="143"/>
      <c r="R905" s="143"/>
      <c r="S905" s="143"/>
      <c r="T905" s="143"/>
      <c r="U905" s="143"/>
      <c r="V905" s="143"/>
      <c r="W905" s="143"/>
      <c r="X905" s="143"/>
      <c r="Y905" s="143"/>
      <c r="Z905" s="143"/>
    </row>
    <row r="906" spans="1:26" ht="24.75">
      <c r="A906" s="143"/>
      <c r="B906" s="140"/>
      <c r="C906" s="141"/>
      <c r="D906" s="153"/>
      <c r="E906" s="142"/>
      <c r="F906" s="143"/>
      <c r="G906" s="150"/>
      <c r="H906" s="150"/>
      <c r="I906" s="143"/>
      <c r="J906" s="143"/>
      <c r="K906" s="143"/>
      <c r="L906" s="143"/>
      <c r="M906" s="143"/>
      <c r="N906" s="143"/>
      <c r="O906" s="143"/>
      <c r="P906" s="143"/>
      <c r="Q906" s="143"/>
      <c r="R906" s="143"/>
      <c r="S906" s="143"/>
      <c r="T906" s="143"/>
      <c r="U906" s="143"/>
      <c r="V906" s="143"/>
      <c r="W906" s="143"/>
      <c r="X906" s="143"/>
      <c r="Y906" s="143"/>
      <c r="Z906" s="143"/>
    </row>
    <row r="907" spans="1:26" ht="24.75">
      <c r="A907" s="143"/>
      <c r="B907" s="140"/>
      <c r="C907" s="141"/>
      <c r="D907" s="153"/>
      <c r="E907" s="142"/>
      <c r="F907" s="143"/>
      <c r="G907" s="152"/>
      <c r="H907" s="152"/>
      <c r="I907" s="143"/>
      <c r="J907" s="143"/>
      <c r="K907" s="143"/>
      <c r="L907" s="143"/>
      <c r="M907" s="143"/>
      <c r="N907" s="143"/>
      <c r="O907" s="143"/>
      <c r="P907" s="143"/>
      <c r="Q907" s="143"/>
      <c r="R907" s="143"/>
      <c r="S907" s="143"/>
      <c r="T907" s="143"/>
      <c r="U907" s="143"/>
      <c r="V907" s="143"/>
      <c r="W907" s="143"/>
      <c r="X907" s="143"/>
      <c r="Y907" s="143"/>
      <c r="Z907" s="143"/>
    </row>
    <row r="908" spans="1:26" ht="24.75">
      <c r="A908" s="143"/>
      <c r="B908" s="140"/>
      <c r="C908" s="141"/>
      <c r="D908" s="153"/>
      <c r="E908" s="142"/>
      <c r="F908" s="143"/>
      <c r="G908" s="150"/>
      <c r="H908" s="150"/>
      <c r="I908" s="143"/>
      <c r="J908" s="143"/>
      <c r="K908" s="143"/>
      <c r="L908" s="143"/>
      <c r="M908" s="143"/>
      <c r="N908" s="143"/>
      <c r="O908" s="143"/>
      <c r="P908" s="143"/>
      <c r="Q908" s="143"/>
      <c r="R908" s="143"/>
      <c r="S908" s="143"/>
      <c r="T908" s="143"/>
      <c r="U908" s="143"/>
      <c r="V908" s="143"/>
      <c r="W908" s="143"/>
      <c r="X908" s="143"/>
      <c r="Y908" s="143"/>
      <c r="Z908" s="143"/>
    </row>
    <row r="909" spans="1:26" ht="24.75">
      <c r="A909" s="143"/>
      <c r="B909" s="140"/>
      <c r="C909" s="141"/>
      <c r="D909" s="153"/>
      <c r="E909" s="142"/>
      <c r="F909" s="143"/>
      <c r="G909" s="152"/>
      <c r="H909" s="152"/>
      <c r="I909" s="143"/>
      <c r="J909" s="143"/>
      <c r="K909" s="143"/>
      <c r="L909" s="143"/>
      <c r="M909" s="143"/>
      <c r="N909" s="143"/>
      <c r="O909" s="143"/>
      <c r="P909" s="143"/>
      <c r="Q909" s="143"/>
      <c r="R909" s="143"/>
      <c r="S909" s="143"/>
      <c r="T909" s="143"/>
      <c r="U909" s="143"/>
      <c r="V909" s="143"/>
      <c r="W909" s="143"/>
      <c r="X909" s="143"/>
      <c r="Y909" s="143"/>
      <c r="Z909" s="143"/>
    </row>
    <row r="910" spans="1:26" ht="24.75">
      <c r="A910" s="143"/>
      <c r="B910" s="140"/>
      <c r="C910" s="141"/>
      <c r="D910" s="153"/>
      <c r="E910" s="142"/>
      <c r="F910" s="143"/>
      <c r="G910" s="150"/>
      <c r="H910" s="150"/>
      <c r="I910" s="143"/>
      <c r="J910" s="143"/>
      <c r="K910" s="143"/>
      <c r="L910" s="143"/>
      <c r="M910" s="143"/>
      <c r="N910" s="143"/>
      <c r="O910" s="143"/>
      <c r="P910" s="143"/>
      <c r="Q910" s="143"/>
      <c r="R910" s="143"/>
      <c r="S910" s="143"/>
      <c r="T910" s="143"/>
      <c r="U910" s="143"/>
      <c r="V910" s="143"/>
      <c r="W910" s="143"/>
      <c r="X910" s="143"/>
      <c r="Y910" s="143"/>
      <c r="Z910" s="143"/>
    </row>
    <row r="911" spans="1:26" ht="24.75">
      <c r="A911" s="143"/>
      <c r="B911" s="140"/>
      <c r="C911" s="141"/>
      <c r="D911" s="153"/>
      <c r="E911" s="142"/>
      <c r="F911" s="143"/>
      <c r="G911" s="152"/>
      <c r="H911" s="152"/>
      <c r="I911" s="143"/>
      <c r="J911" s="143"/>
      <c r="K911" s="143"/>
      <c r="L911" s="143"/>
      <c r="M911" s="143"/>
      <c r="N911" s="143"/>
      <c r="O911" s="143"/>
      <c r="P911" s="143"/>
      <c r="Q911" s="143"/>
      <c r="R911" s="143"/>
      <c r="S911" s="143"/>
      <c r="T911" s="143"/>
      <c r="U911" s="143"/>
      <c r="V911" s="143"/>
      <c r="W911" s="143"/>
      <c r="X911" s="143"/>
      <c r="Y911" s="143"/>
      <c r="Z911" s="143"/>
    </row>
    <row r="912" spans="1:26" ht="24.75">
      <c r="A912" s="143"/>
      <c r="B912" s="140"/>
      <c r="C912" s="141"/>
      <c r="D912" s="153"/>
      <c r="E912" s="142"/>
      <c r="F912" s="143"/>
      <c r="G912" s="150"/>
      <c r="H912" s="150"/>
      <c r="I912" s="143"/>
      <c r="J912" s="143"/>
      <c r="K912" s="143"/>
      <c r="L912" s="143"/>
      <c r="M912" s="143"/>
      <c r="N912" s="143"/>
      <c r="O912" s="143"/>
      <c r="P912" s="143"/>
      <c r="Q912" s="143"/>
      <c r="R912" s="143"/>
      <c r="S912" s="143"/>
      <c r="T912" s="143"/>
      <c r="U912" s="143"/>
      <c r="V912" s="143"/>
      <c r="W912" s="143"/>
      <c r="X912" s="143"/>
      <c r="Y912" s="143"/>
      <c r="Z912" s="143"/>
    </row>
    <row r="913" spans="1:26" ht="24.75">
      <c r="A913" s="143"/>
      <c r="B913" s="140"/>
      <c r="C913" s="141"/>
      <c r="D913" s="153"/>
      <c r="E913" s="142"/>
      <c r="F913" s="143"/>
      <c r="G913" s="152"/>
      <c r="H913" s="152"/>
      <c r="I913" s="143"/>
      <c r="J913" s="143"/>
      <c r="K913" s="143"/>
      <c r="L913" s="143"/>
      <c r="M913" s="143"/>
      <c r="N913" s="143"/>
      <c r="O913" s="143"/>
      <c r="P913" s="143"/>
      <c r="Q913" s="143"/>
      <c r="R913" s="143"/>
      <c r="S913" s="143"/>
      <c r="T913" s="143"/>
      <c r="U913" s="143"/>
      <c r="V913" s="143"/>
      <c r="W913" s="143"/>
      <c r="X913" s="143"/>
      <c r="Y913" s="143"/>
      <c r="Z913" s="143"/>
    </row>
    <row r="914" spans="1:26" ht="24.75">
      <c r="A914" s="143"/>
      <c r="B914" s="140"/>
      <c r="C914" s="141"/>
      <c r="D914" s="153"/>
      <c r="E914" s="142"/>
      <c r="F914" s="143"/>
      <c r="G914" s="150"/>
      <c r="H914" s="150"/>
      <c r="I914" s="143"/>
      <c r="J914" s="143"/>
      <c r="K914" s="143"/>
      <c r="L914" s="143"/>
      <c r="M914" s="143"/>
      <c r="N914" s="143"/>
      <c r="O914" s="143"/>
      <c r="P914" s="143"/>
      <c r="Q914" s="143"/>
      <c r="R914" s="143"/>
      <c r="S914" s="143"/>
      <c r="T914" s="143"/>
      <c r="U914" s="143"/>
      <c r="V914" s="143"/>
      <c r="W914" s="143"/>
      <c r="X914" s="143"/>
      <c r="Y914" s="143"/>
      <c r="Z914" s="143"/>
    </row>
    <row r="915" spans="1:26" ht="24.75">
      <c r="A915" s="143"/>
      <c r="B915" s="140"/>
      <c r="C915" s="141"/>
      <c r="D915" s="153"/>
      <c r="E915" s="142"/>
      <c r="F915" s="143"/>
      <c r="G915" s="152"/>
      <c r="H915" s="152"/>
      <c r="I915" s="143"/>
      <c r="J915" s="143"/>
      <c r="K915" s="143"/>
      <c r="L915" s="143"/>
      <c r="M915" s="143"/>
      <c r="N915" s="143"/>
      <c r="O915" s="143"/>
      <c r="P915" s="143"/>
      <c r="Q915" s="143"/>
      <c r="R915" s="143"/>
      <c r="S915" s="143"/>
      <c r="T915" s="143"/>
      <c r="U915" s="143"/>
      <c r="V915" s="143"/>
      <c r="W915" s="143"/>
      <c r="X915" s="143"/>
      <c r="Y915" s="143"/>
      <c r="Z915" s="143"/>
    </row>
    <row r="916" spans="1:26" ht="24.75">
      <c r="A916" s="143"/>
      <c r="B916" s="140"/>
      <c r="C916" s="141"/>
      <c r="D916" s="153"/>
      <c r="E916" s="142"/>
      <c r="F916" s="143"/>
      <c r="G916" s="150"/>
      <c r="H916" s="150"/>
      <c r="I916" s="143"/>
      <c r="J916" s="143"/>
      <c r="K916" s="143"/>
      <c r="L916" s="143"/>
      <c r="M916" s="143"/>
      <c r="N916" s="143"/>
      <c r="O916" s="143"/>
      <c r="P916" s="143"/>
      <c r="Q916" s="143"/>
      <c r="R916" s="143"/>
      <c r="S916" s="143"/>
      <c r="T916" s="143"/>
      <c r="U916" s="143"/>
      <c r="V916" s="143"/>
      <c r="W916" s="143"/>
      <c r="X916" s="143"/>
      <c r="Y916" s="143"/>
      <c r="Z916" s="143"/>
    </row>
    <row r="917" spans="1:26" ht="24.75">
      <c r="A917" s="143"/>
      <c r="B917" s="140"/>
      <c r="C917" s="141"/>
      <c r="D917" s="153"/>
      <c r="E917" s="142"/>
      <c r="F917" s="143"/>
      <c r="G917" s="152"/>
      <c r="H917" s="152"/>
      <c r="I917" s="143"/>
      <c r="J917" s="143"/>
      <c r="K917" s="143"/>
      <c r="L917" s="143"/>
      <c r="M917" s="143"/>
      <c r="N917" s="143"/>
      <c r="O917" s="143"/>
      <c r="P917" s="143"/>
      <c r="Q917" s="143"/>
      <c r="R917" s="143"/>
      <c r="S917" s="143"/>
      <c r="T917" s="143"/>
      <c r="U917" s="143"/>
      <c r="V917" s="143"/>
      <c r="W917" s="143"/>
      <c r="X917" s="143"/>
      <c r="Y917" s="143"/>
      <c r="Z917" s="143"/>
    </row>
    <row r="918" spans="1:26" ht="24.75">
      <c r="A918" s="143"/>
      <c r="B918" s="140"/>
      <c r="C918" s="141"/>
      <c r="D918" s="153"/>
      <c r="E918" s="142"/>
      <c r="F918" s="143"/>
      <c r="G918" s="150"/>
      <c r="H918" s="150"/>
      <c r="I918" s="143"/>
      <c r="J918" s="143"/>
      <c r="K918" s="143"/>
      <c r="L918" s="143"/>
      <c r="M918" s="143"/>
      <c r="N918" s="143"/>
      <c r="O918" s="143"/>
      <c r="P918" s="143"/>
      <c r="Q918" s="143"/>
      <c r="R918" s="143"/>
      <c r="S918" s="143"/>
      <c r="T918" s="143"/>
      <c r="U918" s="143"/>
      <c r="V918" s="143"/>
      <c r="W918" s="143"/>
      <c r="X918" s="143"/>
      <c r="Y918" s="143"/>
      <c r="Z918" s="143"/>
    </row>
    <row r="919" spans="1:26" ht="24.75">
      <c r="A919" s="143"/>
      <c r="B919" s="140"/>
      <c r="C919" s="141"/>
      <c r="D919" s="153"/>
      <c r="E919" s="142"/>
      <c r="F919" s="143"/>
      <c r="G919" s="152"/>
      <c r="H919" s="152"/>
      <c r="I919" s="143"/>
      <c r="J919" s="143"/>
      <c r="K919" s="143"/>
      <c r="L919" s="143"/>
      <c r="M919" s="143"/>
      <c r="N919" s="143"/>
      <c r="O919" s="143"/>
      <c r="P919" s="143"/>
      <c r="Q919" s="143"/>
      <c r="R919" s="143"/>
      <c r="S919" s="143"/>
      <c r="T919" s="143"/>
      <c r="U919" s="143"/>
      <c r="V919" s="143"/>
      <c r="W919" s="143"/>
      <c r="X919" s="143"/>
      <c r="Y919" s="143"/>
      <c r="Z919" s="143"/>
    </row>
    <row r="920" spans="1:26" ht="24.75">
      <c r="A920" s="143"/>
      <c r="B920" s="140"/>
      <c r="C920" s="141"/>
      <c r="D920" s="153"/>
      <c r="E920" s="142"/>
      <c r="F920" s="143"/>
      <c r="G920" s="150"/>
      <c r="H920" s="150"/>
      <c r="I920" s="143"/>
      <c r="J920" s="143"/>
      <c r="K920" s="143"/>
      <c r="L920" s="143"/>
      <c r="M920" s="143"/>
      <c r="N920" s="143"/>
      <c r="O920" s="143"/>
      <c r="P920" s="143"/>
      <c r="Q920" s="143"/>
      <c r="R920" s="143"/>
      <c r="S920" s="143"/>
      <c r="T920" s="143"/>
      <c r="U920" s="143"/>
      <c r="V920" s="143"/>
      <c r="W920" s="143"/>
      <c r="X920" s="143"/>
      <c r="Y920" s="143"/>
      <c r="Z920" s="143"/>
    </row>
    <row r="921" spans="1:26" ht="24.75">
      <c r="A921" s="143"/>
      <c r="B921" s="140"/>
      <c r="C921" s="141"/>
      <c r="D921" s="153"/>
      <c r="E921" s="142"/>
      <c r="F921" s="143"/>
      <c r="G921" s="152"/>
      <c r="H921" s="152"/>
      <c r="I921" s="143"/>
      <c r="J921" s="143"/>
      <c r="K921" s="143"/>
      <c r="L921" s="143"/>
      <c r="M921" s="143"/>
      <c r="N921" s="143"/>
      <c r="O921" s="143"/>
      <c r="P921" s="143"/>
      <c r="Q921" s="143"/>
      <c r="R921" s="143"/>
      <c r="S921" s="143"/>
      <c r="T921" s="143"/>
      <c r="U921" s="143"/>
      <c r="V921" s="143"/>
      <c r="W921" s="143"/>
      <c r="X921" s="143"/>
      <c r="Y921" s="143"/>
      <c r="Z921" s="143"/>
    </row>
    <row r="922" spans="1:26" ht="24.75">
      <c r="A922" s="143"/>
      <c r="B922" s="140"/>
      <c r="C922" s="141"/>
      <c r="D922" s="153"/>
      <c r="E922" s="142"/>
      <c r="F922" s="143"/>
      <c r="G922" s="150"/>
      <c r="H922" s="150"/>
      <c r="I922" s="143"/>
      <c r="J922" s="143"/>
      <c r="K922" s="143"/>
      <c r="L922" s="143"/>
      <c r="M922" s="143"/>
      <c r="N922" s="143"/>
      <c r="O922" s="143"/>
      <c r="P922" s="143"/>
      <c r="Q922" s="143"/>
      <c r="R922" s="143"/>
      <c r="S922" s="143"/>
      <c r="T922" s="143"/>
      <c r="U922" s="143"/>
      <c r="V922" s="143"/>
      <c r="W922" s="143"/>
      <c r="X922" s="143"/>
      <c r="Y922" s="143"/>
      <c r="Z922" s="143"/>
    </row>
    <row r="923" spans="1:26" ht="24.75">
      <c r="A923" s="143"/>
      <c r="B923" s="140"/>
      <c r="C923" s="141"/>
      <c r="D923" s="153"/>
      <c r="E923" s="142"/>
      <c r="F923" s="143"/>
      <c r="G923" s="152"/>
      <c r="H923" s="152"/>
      <c r="I923" s="143"/>
      <c r="J923" s="143"/>
      <c r="K923" s="143"/>
      <c r="L923" s="143"/>
      <c r="M923" s="143"/>
      <c r="N923" s="143"/>
      <c r="O923" s="143"/>
      <c r="P923" s="143"/>
      <c r="Q923" s="143"/>
      <c r="R923" s="143"/>
      <c r="S923" s="143"/>
      <c r="T923" s="143"/>
      <c r="U923" s="143"/>
      <c r="V923" s="143"/>
      <c r="W923" s="143"/>
      <c r="X923" s="143"/>
      <c r="Y923" s="143"/>
      <c r="Z923" s="143"/>
    </row>
    <row r="924" spans="1:26" ht="24.75">
      <c r="A924" s="143"/>
      <c r="B924" s="140"/>
      <c r="C924" s="141"/>
      <c r="D924" s="153"/>
      <c r="E924" s="142"/>
      <c r="F924" s="143"/>
      <c r="G924" s="150"/>
      <c r="H924" s="150"/>
      <c r="I924" s="143"/>
      <c r="J924" s="143"/>
      <c r="K924" s="143"/>
      <c r="L924" s="143"/>
      <c r="M924" s="143"/>
      <c r="N924" s="143"/>
      <c r="O924" s="143"/>
      <c r="P924" s="143"/>
      <c r="Q924" s="143"/>
      <c r="R924" s="143"/>
      <c r="S924" s="143"/>
      <c r="T924" s="143"/>
      <c r="U924" s="143"/>
      <c r="V924" s="143"/>
      <c r="W924" s="143"/>
      <c r="X924" s="143"/>
      <c r="Y924" s="143"/>
      <c r="Z924" s="143"/>
    </row>
    <row r="925" spans="1:26" ht="24.75">
      <c r="A925" s="143"/>
      <c r="B925" s="140"/>
      <c r="C925" s="141"/>
      <c r="D925" s="153"/>
      <c r="E925" s="142"/>
      <c r="F925" s="143"/>
      <c r="G925" s="152"/>
      <c r="H925" s="152"/>
      <c r="I925" s="143"/>
      <c r="J925" s="143"/>
      <c r="K925" s="143"/>
      <c r="L925" s="143"/>
      <c r="M925" s="143"/>
      <c r="N925" s="143"/>
      <c r="O925" s="143"/>
      <c r="P925" s="143"/>
      <c r="Q925" s="143"/>
      <c r="R925" s="143"/>
      <c r="S925" s="143"/>
      <c r="T925" s="143"/>
      <c r="U925" s="143"/>
      <c r="V925" s="143"/>
      <c r="W925" s="143"/>
      <c r="X925" s="143"/>
      <c r="Y925" s="143"/>
      <c r="Z925" s="143"/>
    </row>
    <row r="926" spans="1:26" ht="24.75">
      <c r="A926" s="143"/>
      <c r="B926" s="140"/>
      <c r="C926" s="141"/>
      <c r="D926" s="153"/>
      <c r="E926" s="142"/>
      <c r="F926" s="143"/>
      <c r="G926" s="150"/>
      <c r="H926" s="150"/>
      <c r="I926" s="143"/>
      <c r="J926" s="143"/>
      <c r="K926" s="143"/>
      <c r="L926" s="143"/>
      <c r="M926" s="143"/>
      <c r="N926" s="143"/>
      <c r="O926" s="143"/>
      <c r="P926" s="143"/>
      <c r="Q926" s="143"/>
      <c r="R926" s="143"/>
      <c r="S926" s="143"/>
      <c r="T926" s="143"/>
      <c r="U926" s="143"/>
      <c r="V926" s="143"/>
      <c r="W926" s="143"/>
      <c r="X926" s="143"/>
      <c r="Y926" s="143"/>
      <c r="Z926" s="143"/>
    </row>
    <row r="927" spans="1:26" ht="24.75">
      <c r="A927" s="143"/>
      <c r="B927" s="140"/>
      <c r="C927" s="141"/>
      <c r="D927" s="153"/>
      <c r="E927" s="142"/>
      <c r="F927" s="143"/>
      <c r="G927" s="152"/>
      <c r="H927" s="152"/>
      <c r="I927" s="143"/>
      <c r="J927" s="143"/>
      <c r="K927" s="143"/>
      <c r="L927" s="143"/>
      <c r="M927" s="143"/>
      <c r="N927" s="143"/>
      <c r="O927" s="143"/>
      <c r="P927" s="143"/>
      <c r="Q927" s="143"/>
      <c r="R927" s="143"/>
      <c r="S927" s="143"/>
      <c r="T927" s="143"/>
      <c r="U927" s="143"/>
      <c r="V927" s="143"/>
      <c r="W927" s="143"/>
      <c r="X927" s="143"/>
      <c r="Y927" s="143"/>
      <c r="Z927" s="143"/>
    </row>
    <row r="928" spans="1:26" ht="24.75">
      <c r="A928" s="143"/>
      <c r="B928" s="140"/>
      <c r="C928" s="141"/>
      <c r="D928" s="153"/>
      <c r="E928" s="142"/>
      <c r="F928" s="143"/>
      <c r="G928" s="150"/>
      <c r="H928" s="150"/>
      <c r="I928" s="143"/>
      <c r="J928" s="143"/>
      <c r="K928" s="143"/>
      <c r="L928" s="143"/>
      <c r="M928" s="143"/>
      <c r="N928" s="143"/>
      <c r="O928" s="143"/>
      <c r="P928" s="143"/>
      <c r="Q928" s="143"/>
      <c r="R928" s="143"/>
      <c r="S928" s="143"/>
      <c r="T928" s="143"/>
      <c r="U928" s="143"/>
      <c r="V928" s="143"/>
      <c r="W928" s="143"/>
      <c r="X928" s="143"/>
      <c r="Y928" s="143"/>
      <c r="Z928" s="143"/>
    </row>
    <row r="929" spans="1:26" ht="24.75">
      <c r="A929" s="143"/>
      <c r="B929" s="140"/>
      <c r="C929" s="141"/>
      <c r="D929" s="153"/>
      <c r="E929" s="142"/>
      <c r="F929" s="143"/>
      <c r="G929" s="152"/>
      <c r="H929" s="152"/>
      <c r="I929" s="143"/>
      <c r="J929" s="143"/>
      <c r="K929" s="143"/>
      <c r="L929" s="143"/>
      <c r="M929" s="143"/>
      <c r="N929" s="143"/>
      <c r="O929" s="143"/>
      <c r="P929" s="143"/>
      <c r="Q929" s="143"/>
      <c r="R929" s="143"/>
      <c r="S929" s="143"/>
      <c r="T929" s="143"/>
      <c r="U929" s="143"/>
      <c r="V929" s="143"/>
      <c r="W929" s="143"/>
      <c r="X929" s="143"/>
      <c r="Y929" s="143"/>
      <c r="Z929" s="143"/>
    </row>
    <row r="930" spans="1:26" ht="24.75">
      <c r="A930" s="143"/>
      <c r="B930" s="140"/>
      <c r="C930" s="141"/>
      <c r="D930" s="153"/>
      <c r="E930" s="142"/>
      <c r="F930" s="143"/>
      <c r="G930" s="150"/>
      <c r="H930" s="150"/>
      <c r="I930" s="143"/>
      <c r="J930" s="143"/>
      <c r="K930" s="143"/>
      <c r="L930" s="143"/>
      <c r="M930" s="143"/>
      <c r="N930" s="143"/>
      <c r="O930" s="143"/>
      <c r="P930" s="143"/>
      <c r="Q930" s="143"/>
      <c r="R930" s="143"/>
      <c r="S930" s="143"/>
      <c r="T930" s="143"/>
      <c r="U930" s="143"/>
      <c r="V930" s="143"/>
      <c r="W930" s="143"/>
      <c r="X930" s="143"/>
      <c r="Y930" s="143"/>
      <c r="Z930" s="143"/>
    </row>
    <row r="931" spans="1:26" ht="24.75">
      <c r="A931" s="143"/>
      <c r="B931" s="140"/>
      <c r="C931" s="141"/>
      <c r="D931" s="153"/>
      <c r="E931" s="142"/>
      <c r="F931" s="143"/>
      <c r="G931" s="152"/>
      <c r="H931" s="152"/>
      <c r="I931" s="143"/>
      <c r="J931" s="143"/>
      <c r="K931" s="143"/>
      <c r="L931" s="143"/>
      <c r="M931" s="143"/>
      <c r="N931" s="143"/>
      <c r="O931" s="143"/>
      <c r="P931" s="143"/>
      <c r="Q931" s="143"/>
      <c r="R931" s="143"/>
      <c r="S931" s="143"/>
      <c r="T931" s="143"/>
      <c r="U931" s="143"/>
      <c r="V931" s="143"/>
      <c r="W931" s="143"/>
      <c r="X931" s="143"/>
      <c r="Y931" s="143"/>
      <c r="Z931" s="143"/>
    </row>
    <row r="932" spans="1:26" ht="24.75">
      <c r="A932" s="143"/>
      <c r="B932" s="140"/>
      <c r="C932" s="141"/>
      <c r="D932" s="153"/>
      <c r="E932" s="142"/>
      <c r="F932" s="143"/>
      <c r="G932" s="150"/>
      <c r="H932" s="150"/>
      <c r="I932" s="143"/>
      <c r="J932" s="143"/>
      <c r="K932" s="143"/>
      <c r="L932" s="143"/>
      <c r="M932" s="143"/>
      <c r="N932" s="143"/>
      <c r="O932" s="143"/>
      <c r="P932" s="143"/>
      <c r="Q932" s="143"/>
      <c r="R932" s="143"/>
      <c r="S932" s="143"/>
      <c r="T932" s="143"/>
      <c r="U932" s="143"/>
      <c r="V932" s="143"/>
      <c r="W932" s="143"/>
      <c r="X932" s="143"/>
      <c r="Y932" s="143"/>
      <c r="Z932" s="143"/>
    </row>
    <row r="933" spans="1:26" ht="24.75">
      <c r="A933" s="143"/>
      <c r="B933" s="140"/>
      <c r="C933" s="141"/>
      <c r="D933" s="153"/>
      <c r="E933" s="142"/>
      <c r="F933" s="143"/>
      <c r="G933" s="152"/>
      <c r="H933" s="152"/>
      <c r="I933" s="143"/>
      <c r="J933" s="143"/>
      <c r="K933" s="143"/>
      <c r="L933" s="143"/>
      <c r="M933" s="143"/>
      <c r="N933" s="143"/>
      <c r="O933" s="143"/>
      <c r="P933" s="143"/>
      <c r="Q933" s="143"/>
      <c r="R933" s="143"/>
      <c r="S933" s="143"/>
      <c r="T933" s="143"/>
      <c r="U933" s="143"/>
      <c r="V933" s="143"/>
      <c r="W933" s="143"/>
      <c r="X933" s="143"/>
      <c r="Y933" s="143"/>
      <c r="Z933" s="143"/>
    </row>
    <row r="934" spans="1:26" ht="24.75">
      <c r="A934" s="143"/>
      <c r="B934" s="140"/>
      <c r="C934" s="141"/>
      <c r="D934" s="153"/>
      <c r="E934" s="142"/>
      <c r="F934" s="143"/>
      <c r="G934" s="150"/>
      <c r="H934" s="150"/>
      <c r="I934" s="143"/>
      <c r="J934" s="143"/>
      <c r="K934" s="143"/>
      <c r="L934" s="143"/>
      <c r="M934" s="143"/>
      <c r="N934" s="143"/>
      <c r="O934" s="143"/>
      <c r="P934" s="143"/>
      <c r="Q934" s="143"/>
      <c r="R934" s="143"/>
      <c r="S934" s="143"/>
      <c r="T934" s="143"/>
      <c r="U934" s="143"/>
      <c r="V934" s="143"/>
      <c r="W934" s="143"/>
      <c r="X934" s="143"/>
      <c r="Y934" s="143"/>
      <c r="Z934" s="143"/>
    </row>
    <row r="935" spans="1:26" ht="24.75">
      <c r="A935" s="143"/>
      <c r="B935" s="140"/>
      <c r="C935" s="141"/>
      <c r="D935" s="153"/>
      <c r="E935" s="142"/>
      <c r="F935" s="143"/>
      <c r="G935" s="152"/>
      <c r="H935" s="152"/>
      <c r="I935" s="143"/>
      <c r="J935" s="143"/>
      <c r="K935" s="143"/>
      <c r="L935" s="143"/>
      <c r="M935" s="143"/>
      <c r="N935" s="143"/>
      <c r="O935" s="143"/>
      <c r="P935" s="143"/>
      <c r="Q935" s="143"/>
      <c r="R935" s="143"/>
      <c r="S935" s="143"/>
      <c r="T935" s="143"/>
      <c r="U935" s="143"/>
      <c r="V935" s="143"/>
      <c r="W935" s="143"/>
      <c r="X935" s="143"/>
      <c r="Y935" s="143"/>
      <c r="Z935" s="143"/>
    </row>
    <row r="936" spans="1:26" ht="24.75">
      <c r="A936" s="143"/>
      <c r="B936" s="140"/>
      <c r="C936" s="141"/>
      <c r="D936" s="153"/>
      <c r="E936" s="142"/>
      <c r="F936" s="143"/>
      <c r="G936" s="150"/>
      <c r="H936" s="150"/>
      <c r="I936" s="143"/>
      <c r="J936" s="143"/>
      <c r="K936" s="143"/>
      <c r="L936" s="143"/>
      <c r="M936" s="143"/>
      <c r="N936" s="143"/>
      <c r="O936" s="143"/>
      <c r="P936" s="143"/>
      <c r="Q936" s="143"/>
      <c r="R936" s="143"/>
      <c r="S936" s="143"/>
      <c r="T936" s="143"/>
      <c r="U936" s="143"/>
      <c r="V936" s="143"/>
      <c r="W936" s="143"/>
      <c r="X936" s="143"/>
      <c r="Y936" s="143"/>
      <c r="Z936" s="143"/>
    </row>
    <row r="937" spans="1:26" ht="24.75">
      <c r="A937" s="143"/>
      <c r="B937" s="140"/>
      <c r="C937" s="141"/>
      <c r="D937" s="153"/>
      <c r="E937" s="142"/>
      <c r="F937" s="143"/>
      <c r="G937" s="152"/>
      <c r="H937" s="152"/>
      <c r="I937" s="143"/>
      <c r="J937" s="143"/>
      <c r="K937" s="143"/>
      <c r="L937" s="143"/>
      <c r="M937" s="143"/>
      <c r="N937" s="143"/>
      <c r="O937" s="143"/>
      <c r="P937" s="143"/>
      <c r="Q937" s="143"/>
      <c r="R937" s="143"/>
      <c r="S937" s="143"/>
      <c r="T937" s="143"/>
      <c r="U937" s="143"/>
      <c r="V937" s="143"/>
      <c r="W937" s="143"/>
      <c r="X937" s="143"/>
      <c r="Y937" s="143"/>
      <c r="Z937" s="143"/>
    </row>
    <row r="938" spans="1:26" ht="24.75">
      <c r="A938" s="143"/>
      <c r="B938" s="140"/>
      <c r="C938" s="141"/>
      <c r="D938" s="153"/>
      <c r="E938" s="142"/>
      <c r="F938" s="143"/>
      <c r="G938" s="150"/>
      <c r="H938" s="150"/>
      <c r="I938" s="143"/>
      <c r="J938" s="143"/>
      <c r="K938" s="143"/>
      <c r="L938" s="143"/>
      <c r="M938" s="143"/>
      <c r="N938" s="143"/>
      <c r="O938" s="143"/>
      <c r="P938" s="143"/>
      <c r="Q938" s="143"/>
      <c r="R938" s="143"/>
      <c r="S938" s="143"/>
      <c r="T938" s="143"/>
      <c r="U938" s="143"/>
      <c r="V938" s="143"/>
      <c r="W938" s="143"/>
      <c r="X938" s="143"/>
      <c r="Y938" s="143"/>
      <c r="Z938" s="143"/>
    </row>
    <row r="939" spans="1:26" ht="24.75">
      <c r="A939" s="143"/>
      <c r="B939" s="140"/>
      <c r="C939" s="141"/>
      <c r="D939" s="153"/>
      <c r="E939" s="142"/>
      <c r="F939" s="143"/>
      <c r="G939" s="152"/>
      <c r="H939" s="152"/>
      <c r="I939" s="143"/>
      <c r="J939" s="143"/>
      <c r="K939" s="143"/>
      <c r="L939" s="143"/>
      <c r="M939" s="143"/>
      <c r="N939" s="143"/>
      <c r="O939" s="143"/>
      <c r="P939" s="143"/>
      <c r="Q939" s="143"/>
      <c r="R939" s="143"/>
      <c r="S939" s="143"/>
      <c r="T939" s="143"/>
      <c r="U939" s="143"/>
      <c r="V939" s="143"/>
      <c r="W939" s="143"/>
      <c r="X939" s="143"/>
      <c r="Y939" s="143"/>
      <c r="Z939" s="143"/>
    </row>
    <row r="940" spans="1:26" ht="24.75">
      <c r="A940" s="143"/>
      <c r="B940" s="140"/>
      <c r="C940" s="141"/>
      <c r="D940" s="153"/>
      <c r="E940" s="142"/>
      <c r="F940" s="143"/>
      <c r="G940" s="150"/>
      <c r="H940" s="150"/>
      <c r="I940" s="143"/>
      <c r="J940" s="143"/>
      <c r="K940" s="143"/>
      <c r="L940" s="143"/>
      <c r="M940" s="143"/>
      <c r="N940" s="143"/>
      <c r="O940" s="143"/>
      <c r="P940" s="143"/>
      <c r="Q940" s="143"/>
      <c r="R940" s="143"/>
      <c r="S940" s="143"/>
      <c r="T940" s="143"/>
      <c r="U940" s="143"/>
      <c r="V940" s="143"/>
      <c r="W940" s="143"/>
      <c r="X940" s="143"/>
      <c r="Y940" s="143"/>
      <c r="Z940" s="143"/>
    </row>
    <row r="941" spans="1:26" ht="24.75">
      <c r="A941" s="143"/>
      <c r="B941" s="140"/>
      <c r="C941" s="141"/>
      <c r="D941" s="153"/>
      <c r="E941" s="142"/>
      <c r="F941" s="143"/>
      <c r="G941" s="152"/>
      <c r="H941" s="152"/>
      <c r="I941" s="143"/>
      <c r="J941" s="143"/>
      <c r="K941" s="143"/>
      <c r="L941" s="143"/>
      <c r="M941" s="143"/>
      <c r="N941" s="143"/>
      <c r="O941" s="143"/>
      <c r="P941" s="143"/>
      <c r="Q941" s="143"/>
      <c r="R941" s="143"/>
      <c r="S941" s="143"/>
      <c r="T941" s="143"/>
      <c r="U941" s="143"/>
      <c r="V941" s="143"/>
      <c r="W941" s="143"/>
      <c r="X941" s="143"/>
      <c r="Y941" s="143"/>
      <c r="Z941" s="143"/>
    </row>
    <row r="942" spans="1:26" ht="24.75">
      <c r="A942" s="143"/>
      <c r="B942" s="140"/>
      <c r="C942" s="141"/>
      <c r="D942" s="153"/>
      <c r="E942" s="142"/>
      <c r="F942" s="143"/>
      <c r="G942" s="150"/>
      <c r="H942" s="150"/>
      <c r="I942" s="143"/>
      <c r="J942" s="143"/>
      <c r="K942" s="143"/>
      <c r="L942" s="143"/>
      <c r="M942" s="143"/>
      <c r="N942" s="143"/>
      <c r="O942" s="143"/>
      <c r="P942" s="143"/>
      <c r="Q942" s="143"/>
      <c r="R942" s="143"/>
      <c r="S942" s="143"/>
      <c r="T942" s="143"/>
      <c r="U942" s="143"/>
      <c r="V942" s="143"/>
      <c r="W942" s="143"/>
      <c r="X942" s="143"/>
      <c r="Y942" s="143"/>
      <c r="Z942" s="143"/>
    </row>
    <row r="943" spans="1:26" ht="24.75">
      <c r="A943" s="143"/>
      <c r="B943" s="140"/>
      <c r="C943" s="141"/>
      <c r="D943" s="153"/>
      <c r="E943" s="142"/>
      <c r="F943" s="143"/>
      <c r="G943" s="152"/>
      <c r="H943" s="152"/>
      <c r="I943" s="143"/>
      <c r="J943" s="143"/>
      <c r="K943" s="143"/>
      <c r="L943" s="143"/>
      <c r="M943" s="143"/>
      <c r="N943" s="143"/>
      <c r="O943" s="143"/>
      <c r="P943" s="143"/>
      <c r="Q943" s="143"/>
      <c r="R943" s="143"/>
      <c r="S943" s="143"/>
      <c r="T943" s="143"/>
      <c r="U943" s="143"/>
      <c r="V943" s="143"/>
      <c r="W943" s="143"/>
      <c r="X943" s="143"/>
      <c r="Y943" s="143"/>
      <c r="Z943" s="143"/>
    </row>
    <row r="944" spans="1:26" ht="24.75">
      <c r="A944" s="143"/>
      <c r="B944" s="140"/>
      <c r="C944" s="141"/>
      <c r="D944" s="153"/>
      <c r="E944" s="142"/>
      <c r="F944" s="143"/>
      <c r="G944" s="150"/>
      <c r="H944" s="150"/>
      <c r="I944" s="143"/>
      <c r="J944" s="143"/>
      <c r="K944" s="143"/>
      <c r="L944" s="143"/>
      <c r="M944" s="143"/>
      <c r="N944" s="143"/>
      <c r="O944" s="143"/>
      <c r="P944" s="143"/>
      <c r="Q944" s="143"/>
      <c r="R944" s="143"/>
      <c r="S944" s="143"/>
      <c r="T944" s="143"/>
      <c r="U944" s="143"/>
      <c r="V944" s="143"/>
      <c r="W944" s="143"/>
      <c r="X944" s="143"/>
      <c r="Y944" s="143"/>
      <c r="Z944" s="143"/>
    </row>
    <row r="945" spans="1:26" ht="24.75">
      <c r="A945" s="143"/>
      <c r="B945" s="140"/>
      <c r="C945" s="141"/>
      <c r="D945" s="153"/>
      <c r="E945" s="142"/>
      <c r="F945" s="143"/>
      <c r="G945" s="152"/>
      <c r="H945" s="152"/>
      <c r="I945" s="143"/>
      <c r="J945" s="143"/>
      <c r="K945" s="143"/>
      <c r="L945" s="143"/>
      <c r="M945" s="143"/>
      <c r="N945" s="143"/>
      <c r="O945" s="143"/>
      <c r="P945" s="143"/>
      <c r="Q945" s="143"/>
      <c r="R945" s="143"/>
      <c r="S945" s="143"/>
      <c r="T945" s="143"/>
      <c r="U945" s="143"/>
      <c r="V945" s="143"/>
      <c r="W945" s="143"/>
      <c r="X945" s="143"/>
      <c r="Y945" s="143"/>
      <c r="Z945" s="143"/>
    </row>
    <row r="946" spans="1:26" ht="24.75">
      <c r="A946" s="143"/>
      <c r="B946" s="140"/>
      <c r="C946" s="141"/>
      <c r="D946" s="153"/>
      <c r="E946" s="142"/>
      <c r="F946" s="143"/>
      <c r="G946" s="150"/>
      <c r="H946" s="150"/>
      <c r="I946" s="143"/>
      <c r="J946" s="143"/>
      <c r="K946" s="143"/>
      <c r="L946" s="143"/>
      <c r="M946" s="143"/>
      <c r="N946" s="143"/>
      <c r="O946" s="143"/>
      <c r="P946" s="143"/>
      <c r="Q946" s="143"/>
      <c r="R946" s="143"/>
      <c r="S946" s="143"/>
      <c r="T946" s="143"/>
      <c r="U946" s="143"/>
      <c r="V946" s="143"/>
      <c r="W946" s="143"/>
      <c r="X946" s="143"/>
      <c r="Y946" s="143"/>
      <c r="Z946" s="143"/>
    </row>
    <row r="947" spans="1:26" ht="24.75">
      <c r="A947" s="143"/>
      <c r="B947" s="140"/>
      <c r="C947" s="141"/>
      <c r="D947" s="153"/>
      <c r="E947" s="142"/>
      <c r="F947" s="143"/>
      <c r="G947" s="152"/>
      <c r="H947" s="152"/>
      <c r="I947" s="143"/>
      <c r="J947" s="143"/>
      <c r="K947" s="143"/>
      <c r="L947" s="143"/>
      <c r="M947" s="143"/>
      <c r="N947" s="143"/>
      <c r="O947" s="143"/>
      <c r="P947" s="143"/>
      <c r="Q947" s="143"/>
      <c r="R947" s="143"/>
      <c r="S947" s="143"/>
      <c r="T947" s="143"/>
      <c r="U947" s="143"/>
      <c r="V947" s="143"/>
      <c r="W947" s="143"/>
      <c r="X947" s="143"/>
      <c r="Y947" s="143"/>
      <c r="Z947" s="143"/>
    </row>
    <row r="948" spans="1:26" ht="24.75">
      <c r="A948" s="143"/>
      <c r="B948" s="140"/>
      <c r="C948" s="141"/>
      <c r="D948" s="153"/>
      <c r="E948" s="142"/>
      <c r="F948" s="143"/>
      <c r="G948" s="150"/>
      <c r="H948" s="150"/>
      <c r="I948" s="143"/>
      <c r="J948" s="143"/>
      <c r="K948" s="143"/>
      <c r="L948" s="143"/>
      <c r="M948" s="143"/>
      <c r="N948" s="143"/>
      <c r="O948" s="143"/>
      <c r="P948" s="143"/>
      <c r="Q948" s="143"/>
      <c r="R948" s="143"/>
      <c r="S948" s="143"/>
      <c r="T948" s="143"/>
      <c r="U948" s="143"/>
      <c r="V948" s="143"/>
      <c r="W948" s="143"/>
      <c r="X948" s="143"/>
      <c r="Y948" s="143"/>
      <c r="Z948" s="143"/>
    </row>
    <row r="949" spans="1:26" ht="24.75">
      <c r="A949" s="143"/>
      <c r="B949" s="140"/>
      <c r="C949" s="141"/>
      <c r="D949" s="153"/>
      <c r="E949" s="142"/>
      <c r="F949" s="143"/>
      <c r="G949" s="152"/>
      <c r="H949" s="152"/>
      <c r="I949" s="143"/>
      <c r="J949" s="143"/>
      <c r="K949" s="143"/>
      <c r="L949" s="143"/>
      <c r="M949" s="143"/>
      <c r="N949" s="143"/>
      <c r="O949" s="143"/>
      <c r="P949" s="143"/>
      <c r="Q949" s="143"/>
      <c r="R949" s="143"/>
      <c r="S949" s="143"/>
      <c r="T949" s="143"/>
      <c r="U949" s="143"/>
      <c r="V949" s="143"/>
      <c r="W949" s="143"/>
      <c r="X949" s="143"/>
      <c r="Y949" s="143"/>
      <c r="Z949" s="143"/>
    </row>
    <row r="950" spans="1:26" ht="24.75">
      <c r="A950" s="143"/>
      <c r="B950" s="140"/>
      <c r="C950" s="141"/>
      <c r="D950" s="153"/>
      <c r="E950" s="142"/>
      <c r="F950" s="143"/>
      <c r="G950" s="150"/>
      <c r="H950" s="150"/>
      <c r="I950" s="143"/>
      <c r="J950" s="143"/>
      <c r="K950" s="143"/>
      <c r="L950" s="143"/>
      <c r="M950" s="143"/>
      <c r="N950" s="143"/>
      <c r="O950" s="143"/>
      <c r="P950" s="143"/>
      <c r="Q950" s="143"/>
      <c r="R950" s="143"/>
      <c r="S950" s="143"/>
      <c r="T950" s="143"/>
      <c r="U950" s="143"/>
      <c r="V950" s="143"/>
      <c r="W950" s="143"/>
      <c r="X950" s="143"/>
      <c r="Y950" s="143"/>
      <c r="Z950" s="143"/>
    </row>
    <row r="951" spans="1:26" ht="24.75">
      <c r="A951" s="143"/>
      <c r="B951" s="140"/>
      <c r="C951" s="141"/>
      <c r="D951" s="153"/>
      <c r="E951" s="142"/>
      <c r="F951" s="143"/>
      <c r="G951" s="152"/>
      <c r="H951" s="152"/>
      <c r="I951" s="143"/>
      <c r="J951" s="143"/>
      <c r="K951" s="143"/>
      <c r="L951" s="143"/>
      <c r="M951" s="143"/>
      <c r="N951" s="143"/>
      <c r="O951" s="143"/>
      <c r="P951" s="143"/>
      <c r="Q951" s="143"/>
      <c r="R951" s="143"/>
      <c r="S951" s="143"/>
      <c r="T951" s="143"/>
      <c r="U951" s="143"/>
      <c r="V951" s="143"/>
      <c r="W951" s="143"/>
      <c r="X951" s="143"/>
      <c r="Y951" s="143"/>
      <c r="Z951" s="143"/>
    </row>
    <row r="952" spans="1:26" ht="24.75">
      <c r="A952" s="143"/>
      <c r="B952" s="140"/>
      <c r="C952" s="141"/>
      <c r="D952" s="153"/>
      <c r="E952" s="142"/>
      <c r="F952" s="143"/>
      <c r="G952" s="150"/>
      <c r="H952" s="150"/>
      <c r="I952" s="143"/>
      <c r="J952" s="143"/>
      <c r="K952" s="143"/>
      <c r="L952" s="143"/>
      <c r="M952" s="143"/>
      <c r="N952" s="143"/>
      <c r="O952" s="143"/>
      <c r="P952" s="143"/>
      <c r="Q952" s="143"/>
      <c r="R952" s="143"/>
      <c r="S952" s="143"/>
      <c r="T952" s="143"/>
      <c r="U952" s="143"/>
      <c r="V952" s="143"/>
      <c r="W952" s="143"/>
      <c r="X952" s="143"/>
      <c r="Y952" s="143"/>
      <c r="Z952" s="143"/>
    </row>
    <row r="953" spans="1:26" ht="24.75">
      <c r="A953" s="143"/>
      <c r="B953" s="140"/>
      <c r="C953" s="141"/>
      <c r="D953" s="153"/>
      <c r="E953" s="142"/>
      <c r="F953" s="143"/>
      <c r="G953" s="152"/>
      <c r="H953" s="152"/>
      <c r="I953" s="143"/>
      <c r="J953" s="143"/>
      <c r="K953" s="143"/>
      <c r="L953" s="143"/>
      <c r="M953" s="143"/>
      <c r="N953" s="143"/>
      <c r="O953" s="143"/>
      <c r="P953" s="143"/>
      <c r="Q953" s="143"/>
      <c r="R953" s="143"/>
      <c r="S953" s="143"/>
      <c r="T953" s="143"/>
      <c r="U953" s="143"/>
      <c r="V953" s="143"/>
      <c r="W953" s="143"/>
      <c r="X953" s="143"/>
      <c r="Y953" s="143"/>
      <c r="Z953" s="143"/>
    </row>
    <row r="954" spans="1:26" ht="24.75">
      <c r="A954" s="143"/>
      <c r="B954" s="140"/>
      <c r="C954" s="141"/>
      <c r="D954" s="153"/>
      <c r="E954" s="142"/>
      <c r="F954" s="143"/>
      <c r="G954" s="150"/>
      <c r="H954" s="150"/>
      <c r="I954" s="143"/>
      <c r="J954" s="143"/>
      <c r="K954" s="143"/>
      <c r="L954" s="143"/>
      <c r="M954" s="143"/>
      <c r="N954" s="143"/>
      <c r="O954" s="143"/>
      <c r="P954" s="143"/>
      <c r="Q954" s="143"/>
      <c r="R954" s="143"/>
      <c r="S954" s="143"/>
      <c r="T954" s="143"/>
      <c r="U954" s="143"/>
      <c r="V954" s="143"/>
      <c r="W954" s="143"/>
      <c r="X954" s="143"/>
      <c r="Y954" s="143"/>
      <c r="Z954" s="143"/>
    </row>
    <row r="955" spans="1:26" ht="24.75">
      <c r="A955" s="143"/>
      <c r="B955" s="140"/>
      <c r="C955" s="141"/>
      <c r="D955" s="153"/>
      <c r="E955" s="142"/>
      <c r="F955" s="143"/>
      <c r="G955" s="152"/>
      <c r="H955" s="152"/>
      <c r="I955" s="143"/>
      <c r="J955" s="143"/>
      <c r="K955" s="143"/>
      <c r="L955" s="143"/>
      <c r="M955" s="143"/>
      <c r="N955" s="143"/>
      <c r="O955" s="143"/>
      <c r="P955" s="143"/>
      <c r="Q955" s="143"/>
      <c r="R955" s="143"/>
      <c r="S955" s="143"/>
      <c r="T955" s="143"/>
      <c r="U955" s="143"/>
      <c r="V955" s="143"/>
      <c r="W955" s="143"/>
      <c r="X955" s="143"/>
      <c r="Y955" s="143"/>
      <c r="Z955" s="143"/>
    </row>
    <row r="956" spans="1:26" ht="24.75">
      <c r="A956" s="143"/>
      <c r="B956" s="140"/>
      <c r="C956" s="141"/>
      <c r="D956" s="153"/>
      <c r="E956" s="142"/>
      <c r="F956" s="143"/>
      <c r="G956" s="150"/>
      <c r="H956" s="150"/>
      <c r="I956" s="143"/>
      <c r="J956" s="143"/>
      <c r="K956" s="143"/>
      <c r="L956" s="143"/>
      <c r="M956" s="143"/>
      <c r="N956" s="143"/>
      <c r="O956" s="143"/>
      <c r="P956" s="143"/>
      <c r="Q956" s="143"/>
      <c r="R956" s="143"/>
      <c r="S956" s="143"/>
      <c r="T956" s="143"/>
      <c r="U956" s="143"/>
      <c r="V956" s="143"/>
      <c r="W956" s="143"/>
      <c r="X956" s="143"/>
      <c r="Y956" s="143"/>
      <c r="Z956" s="143"/>
    </row>
    <row r="957" spans="1:26" ht="24.75">
      <c r="A957" s="143"/>
      <c r="B957" s="140"/>
      <c r="C957" s="141"/>
      <c r="D957" s="153"/>
      <c r="E957" s="142"/>
      <c r="F957" s="143"/>
      <c r="G957" s="152"/>
      <c r="H957" s="152"/>
      <c r="I957" s="143"/>
      <c r="J957" s="143"/>
      <c r="K957" s="143"/>
      <c r="L957" s="143"/>
      <c r="M957" s="143"/>
      <c r="N957" s="143"/>
      <c r="O957" s="143"/>
      <c r="P957" s="143"/>
      <c r="Q957" s="143"/>
      <c r="R957" s="143"/>
      <c r="S957" s="143"/>
      <c r="T957" s="143"/>
      <c r="U957" s="143"/>
      <c r="V957" s="143"/>
      <c r="W957" s="143"/>
      <c r="X957" s="143"/>
      <c r="Y957" s="143"/>
      <c r="Z957" s="143"/>
    </row>
    <row r="958" spans="1:26" ht="24.75">
      <c r="A958" s="143"/>
      <c r="B958" s="140"/>
      <c r="C958" s="141"/>
      <c r="D958" s="153"/>
      <c r="E958" s="142"/>
      <c r="F958" s="143"/>
      <c r="G958" s="150"/>
      <c r="H958" s="150"/>
      <c r="I958" s="143"/>
      <c r="J958" s="143"/>
      <c r="K958" s="143"/>
      <c r="L958" s="143"/>
      <c r="M958" s="143"/>
      <c r="N958" s="143"/>
      <c r="O958" s="143"/>
      <c r="P958" s="143"/>
      <c r="Q958" s="143"/>
      <c r="R958" s="143"/>
      <c r="S958" s="143"/>
      <c r="T958" s="143"/>
      <c r="U958" s="143"/>
      <c r="V958" s="143"/>
      <c r="W958" s="143"/>
      <c r="X958" s="143"/>
      <c r="Y958" s="143"/>
      <c r="Z958" s="143"/>
    </row>
    <row r="959" spans="1:26" ht="24.75">
      <c r="A959" s="143"/>
      <c r="B959" s="140"/>
      <c r="C959" s="141"/>
      <c r="D959" s="153"/>
      <c r="E959" s="142"/>
      <c r="F959" s="143"/>
      <c r="G959" s="152"/>
      <c r="H959" s="152"/>
      <c r="I959" s="143"/>
      <c r="J959" s="143"/>
      <c r="K959" s="143"/>
      <c r="L959" s="143"/>
      <c r="M959" s="143"/>
      <c r="N959" s="143"/>
      <c r="O959" s="143"/>
      <c r="P959" s="143"/>
      <c r="Q959" s="143"/>
      <c r="R959" s="143"/>
      <c r="S959" s="143"/>
      <c r="T959" s="143"/>
      <c r="U959" s="143"/>
      <c r="V959" s="143"/>
      <c r="W959" s="143"/>
      <c r="X959" s="143"/>
      <c r="Y959" s="143"/>
      <c r="Z959" s="143"/>
    </row>
    <row r="960" spans="1:26" ht="24.75">
      <c r="A960" s="143"/>
      <c r="B960" s="140"/>
      <c r="C960" s="141"/>
      <c r="D960" s="153"/>
      <c r="E960" s="142"/>
      <c r="F960" s="143"/>
      <c r="G960" s="150"/>
      <c r="H960" s="150"/>
      <c r="I960" s="143"/>
      <c r="J960" s="143"/>
      <c r="K960" s="143"/>
      <c r="L960" s="143"/>
      <c r="M960" s="143"/>
      <c r="N960" s="143"/>
      <c r="O960" s="143"/>
      <c r="P960" s="143"/>
      <c r="Q960" s="143"/>
      <c r="R960" s="143"/>
      <c r="S960" s="143"/>
      <c r="T960" s="143"/>
      <c r="U960" s="143"/>
      <c r="V960" s="143"/>
      <c r="W960" s="143"/>
      <c r="X960" s="143"/>
      <c r="Y960" s="143"/>
      <c r="Z960" s="143"/>
    </row>
    <row r="961" spans="1:26" ht="24.75">
      <c r="A961" s="143"/>
      <c r="B961" s="140"/>
      <c r="C961" s="141"/>
      <c r="D961" s="153"/>
      <c r="E961" s="142"/>
      <c r="F961" s="143"/>
      <c r="G961" s="152"/>
      <c r="H961" s="152"/>
      <c r="I961" s="143"/>
      <c r="J961" s="143"/>
      <c r="K961" s="143"/>
      <c r="L961" s="143"/>
      <c r="M961" s="143"/>
      <c r="N961" s="143"/>
      <c r="O961" s="143"/>
      <c r="P961" s="143"/>
      <c r="Q961" s="143"/>
      <c r="R961" s="143"/>
      <c r="S961" s="143"/>
      <c r="T961" s="143"/>
      <c r="U961" s="143"/>
      <c r="V961" s="143"/>
      <c r="W961" s="143"/>
      <c r="X961" s="143"/>
      <c r="Y961" s="143"/>
      <c r="Z961" s="143"/>
    </row>
    <row r="962" spans="1:26" ht="24.75">
      <c r="A962" s="143"/>
      <c r="B962" s="140"/>
      <c r="C962" s="141"/>
      <c r="D962" s="153"/>
      <c r="E962" s="142"/>
      <c r="F962" s="143"/>
      <c r="G962" s="150"/>
      <c r="H962" s="150"/>
      <c r="I962" s="143"/>
      <c r="J962" s="143"/>
      <c r="K962" s="143"/>
      <c r="L962" s="143"/>
      <c r="M962" s="143"/>
      <c r="N962" s="143"/>
      <c r="O962" s="143"/>
      <c r="P962" s="143"/>
      <c r="Q962" s="143"/>
      <c r="R962" s="143"/>
      <c r="S962" s="143"/>
      <c r="T962" s="143"/>
      <c r="U962" s="143"/>
      <c r="V962" s="143"/>
      <c r="W962" s="143"/>
      <c r="X962" s="143"/>
      <c r="Y962" s="143"/>
      <c r="Z962" s="143"/>
    </row>
    <row r="963" spans="1:26" ht="24.75">
      <c r="A963" s="143"/>
      <c r="B963" s="140"/>
      <c r="C963" s="141"/>
      <c r="D963" s="153"/>
      <c r="E963" s="142"/>
      <c r="F963" s="143"/>
      <c r="G963" s="152"/>
      <c r="H963" s="152"/>
      <c r="I963" s="143"/>
      <c r="J963" s="143"/>
      <c r="K963" s="143"/>
      <c r="L963" s="143"/>
      <c r="M963" s="143"/>
      <c r="N963" s="143"/>
      <c r="O963" s="143"/>
      <c r="P963" s="143"/>
      <c r="Q963" s="143"/>
      <c r="R963" s="143"/>
      <c r="S963" s="143"/>
      <c r="T963" s="143"/>
      <c r="U963" s="143"/>
      <c r="V963" s="143"/>
      <c r="W963" s="143"/>
      <c r="X963" s="143"/>
      <c r="Y963" s="143"/>
      <c r="Z963" s="143"/>
    </row>
    <row r="964" spans="1:26" ht="24.75">
      <c r="A964" s="143"/>
      <c r="B964" s="140"/>
      <c r="C964" s="141"/>
      <c r="D964" s="153"/>
      <c r="E964" s="142"/>
      <c r="F964" s="143"/>
      <c r="G964" s="150"/>
      <c r="H964" s="150"/>
      <c r="I964" s="143"/>
      <c r="J964" s="143"/>
      <c r="K964" s="143"/>
      <c r="L964" s="143"/>
      <c r="M964" s="143"/>
      <c r="N964" s="143"/>
      <c r="O964" s="143"/>
      <c r="P964" s="143"/>
      <c r="Q964" s="143"/>
      <c r="R964" s="143"/>
      <c r="S964" s="143"/>
      <c r="T964" s="143"/>
      <c r="U964" s="143"/>
      <c r="V964" s="143"/>
      <c r="W964" s="143"/>
      <c r="X964" s="143"/>
      <c r="Y964" s="143"/>
      <c r="Z964" s="143"/>
    </row>
    <row r="965" spans="1:26" ht="24.75">
      <c r="A965" s="143"/>
      <c r="B965" s="140"/>
      <c r="C965" s="141"/>
      <c r="D965" s="153"/>
      <c r="E965" s="142"/>
      <c r="F965" s="143"/>
      <c r="G965" s="152"/>
      <c r="H965" s="152"/>
      <c r="I965" s="143"/>
      <c r="J965" s="143"/>
      <c r="K965" s="143"/>
      <c r="L965" s="143"/>
      <c r="M965" s="143"/>
      <c r="N965" s="143"/>
      <c r="O965" s="143"/>
      <c r="P965" s="143"/>
      <c r="Q965" s="143"/>
      <c r="R965" s="143"/>
      <c r="S965" s="143"/>
      <c r="T965" s="143"/>
      <c r="U965" s="143"/>
      <c r="V965" s="143"/>
      <c r="W965" s="143"/>
      <c r="X965" s="143"/>
      <c r="Y965" s="143"/>
      <c r="Z965" s="143"/>
    </row>
    <row r="966" spans="1:26" ht="24.75">
      <c r="A966" s="143"/>
      <c r="B966" s="140"/>
      <c r="C966" s="141"/>
      <c r="D966" s="153"/>
      <c r="E966" s="142"/>
      <c r="F966" s="143"/>
      <c r="G966" s="150"/>
      <c r="H966" s="150"/>
      <c r="I966" s="143"/>
      <c r="J966" s="143"/>
      <c r="K966" s="143"/>
      <c r="L966" s="143"/>
      <c r="M966" s="143"/>
      <c r="N966" s="143"/>
      <c r="O966" s="143"/>
      <c r="P966" s="143"/>
      <c r="Q966" s="143"/>
      <c r="R966" s="143"/>
      <c r="S966" s="143"/>
      <c r="T966" s="143"/>
      <c r="U966" s="143"/>
      <c r="V966" s="143"/>
      <c r="W966" s="143"/>
      <c r="X966" s="143"/>
      <c r="Y966" s="143"/>
      <c r="Z966" s="143"/>
    </row>
    <row r="967" spans="1:26" ht="24.75">
      <c r="A967" s="143"/>
      <c r="B967" s="140"/>
      <c r="C967" s="141"/>
      <c r="D967" s="153"/>
      <c r="E967" s="142"/>
      <c r="F967" s="143"/>
      <c r="G967" s="152"/>
      <c r="H967" s="152"/>
      <c r="I967" s="143"/>
      <c r="J967" s="143"/>
      <c r="K967" s="143"/>
      <c r="L967" s="143"/>
      <c r="M967" s="143"/>
      <c r="N967" s="143"/>
      <c r="O967" s="143"/>
      <c r="P967" s="143"/>
      <c r="Q967" s="143"/>
      <c r="R967" s="143"/>
      <c r="S967" s="143"/>
      <c r="T967" s="143"/>
      <c r="U967" s="143"/>
      <c r="V967" s="143"/>
      <c r="W967" s="143"/>
      <c r="X967" s="143"/>
      <c r="Y967" s="143"/>
      <c r="Z967" s="143"/>
    </row>
    <row r="968" spans="1:26" ht="24.75">
      <c r="A968" s="143"/>
      <c r="B968" s="140"/>
      <c r="C968" s="141"/>
      <c r="D968" s="153"/>
      <c r="E968" s="142"/>
      <c r="F968" s="143"/>
      <c r="G968" s="150"/>
      <c r="H968" s="150"/>
      <c r="I968" s="143"/>
      <c r="J968" s="143"/>
      <c r="K968" s="143"/>
      <c r="L968" s="143"/>
      <c r="M968" s="143"/>
      <c r="N968" s="143"/>
      <c r="O968" s="143"/>
      <c r="P968" s="143"/>
      <c r="Q968" s="143"/>
      <c r="R968" s="143"/>
      <c r="S968" s="143"/>
      <c r="T968" s="143"/>
      <c r="U968" s="143"/>
      <c r="V968" s="143"/>
      <c r="W968" s="143"/>
      <c r="X968" s="143"/>
      <c r="Y968" s="143"/>
      <c r="Z968" s="143"/>
    </row>
    <row r="969" spans="1:26" ht="24.75">
      <c r="A969" s="143"/>
      <c r="B969" s="140"/>
      <c r="C969" s="141"/>
      <c r="D969" s="153"/>
      <c r="E969" s="142"/>
      <c r="F969" s="143"/>
      <c r="G969" s="152"/>
      <c r="H969" s="152"/>
      <c r="I969" s="143"/>
      <c r="J969" s="143"/>
      <c r="K969" s="143"/>
      <c r="L969" s="143"/>
      <c r="M969" s="143"/>
      <c r="N969" s="143"/>
      <c r="O969" s="143"/>
      <c r="P969" s="143"/>
      <c r="Q969" s="143"/>
      <c r="R969" s="143"/>
      <c r="S969" s="143"/>
      <c r="T969" s="143"/>
      <c r="U969" s="143"/>
      <c r="V969" s="143"/>
      <c r="W969" s="143"/>
      <c r="X969" s="143"/>
      <c r="Y969" s="143"/>
      <c r="Z969" s="143"/>
    </row>
    <row r="970" spans="1:26" ht="24.75">
      <c r="A970" s="143"/>
      <c r="B970" s="140"/>
      <c r="C970" s="141"/>
      <c r="D970" s="153"/>
      <c r="E970" s="142"/>
      <c r="F970" s="143"/>
      <c r="G970" s="150"/>
      <c r="H970" s="150"/>
      <c r="I970" s="143"/>
      <c r="J970" s="143"/>
      <c r="K970" s="143"/>
      <c r="L970" s="143"/>
      <c r="M970" s="143"/>
      <c r="N970" s="143"/>
      <c r="O970" s="143"/>
      <c r="P970" s="143"/>
      <c r="Q970" s="143"/>
      <c r="R970" s="143"/>
      <c r="S970" s="143"/>
      <c r="T970" s="143"/>
      <c r="U970" s="143"/>
      <c r="V970" s="143"/>
      <c r="W970" s="143"/>
      <c r="X970" s="143"/>
      <c r="Y970" s="143"/>
      <c r="Z970" s="143"/>
    </row>
    <row r="971" spans="1:26" ht="24.75">
      <c r="A971" s="143"/>
      <c r="B971" s="140"/>
      <c r="C971" s="141"/>
      <c r="D971" s="153"/>
      <c r="E971" s="142"/>
      <c r="F971" s="143"/>
      <c r="G971" s="152"/>
      <c r="H971" s="152"/>
      <c r="I971" s="143"/>
      <c r="J971" s="143"/>
      <c r="K971" s="143"/>
      <c r="L971" s="143"/>
      <c r="M971" s="143"/>
      <c r="N971" s="143"/>
      <c r="O971" s="143"/>
      <c r="P971" s="143"/>
      <c r="Q971" s="143"/>
      <c r="R971" s="143"/>
      <c r="S971" s="143"/>
      <c r="T971" s="143"/>
      <c r="U971" s="143"/>
      <c r="V971" s="143"/>
      <c r="W971" s="143"/>
      <c r="X971" s="143"/>
      <c r="Y971" s="143"/>
      <c r="Z971" s="143"/>
    </row>
    <row r="972" spans="1:26" ht="24.75">
      <c r="A972" s="143"/>
      <c r="B972" s="140"/>
      <c r="C972" s="141"/>
      <c r="D972" s="153"/>
      <c r="E972" s="142"/>
      <c r="F972" s="143"/>
      <c r="G972" s="150"/>
      <c r="H972" s="150"/>
      <c r="I972" s="143"/>
      <c r="J972" s="143"/>
      <c r="K972" s="143"/>
      <c r="L972" s="143"/>
      <c r="M972" s="143"/>
      <c r="N972" s="143"/>
      <c r="O972" s="143"/>
      <c r="P972" s="143"/>
      <c r="Q972" s="143"/>
      <c r="R972" s="143"/>
      <c r="S972" s="143"/>
      <c r="T972" s="143"/>
      <c r="U972" s="143"/>
      <c r="V972" s="143"/>
      <c r="W972" s="143"/>
      <c r="X972" s="143"/>
      <c r="Y972" s="143"/>
      <c r="Z972" s="143"/>
    </row>
    <row r="973" spans="1:26" ht="24.75">
      <c r="A973" s="143"/>
      <c r="B973" s="140"/>
      <c r="C973" s="141"/>
      <c r="D973" s="153"/>
      <c r="E973" s="142"/>
      <c r="F973" s="143"/>
      <c r="G973" s="152"/>
      <c r="H973" s="152"/>
      <c r="I973" s="143"/>
      <c r="J973" s="143"/>
      <c r="K973" s="143"/>
      <c r="L973" s="143"/>
      <c r="M973" s="143"/>
      <c r="N973" s="143"/>
      <c r="O973" s="143"/>
      <c r="P973" s="143"/>
      <c r="Q973" s="143"/>
      <c r="R973" s="143"/>
      <c r="S973" s="143"/>
      <c r="T973" s="143"/>
      <c r="U973" s="143"/>
      <c r="V973" s="143"/>
      <c r="W973" s="143"/>
      <c r="X973" s="143"/>
      <c r="Y973" s="143"/>
      <c r="Z973" s="143"/>
    </row>
    <row r="974" spans="1:26" ht="24.75">
      <c r="A974" s="143"/>
      <c r="B974" s="140"/>
      <c r="C974" s="141"/>
      <c r="D974" s="153"/>
      <c r="E974" s="142"/>
      <c r="F974" s="143"/>
      <c r="G974" s="150"/>
      <c r="H974" s="150"/>
      <c r="I974" s="143"/>
      <c r="J974" s="143"/>
      <c r="K974" s="143"/>
      <c r="L974" s="143"/>
      <c r="M974" s="143"/>
      <c r="N974" s="143"/>
      <c r="O974" s="143"/>
      <c r="P974" s="143"/>
      <c r="Q974" s="143"/>
      <c r="R974" s="143"/>
      <c r="S974" s="143"/>
      <c r="T974" s="143"/>
      <c r="U974" s="143"/>
      <c r="V974" s="143"/>
      <c r="W974" s="143"/>
      <c r="X974" s="143"/>
      <c r="Y974" s="143"/>
      <c r="Z974" s="143"/>
    </row>
    <row r="975" spans="1:26" ht="24.75">
      <c r="A975" s="143"/>
      <c r="B975" s="140"/>
      <c r="C975" s="141"/>
      <c r="D975" s="153"/>
      <c r="E975" s="142"/>
      <c r="F975" s="143"/>
      <c r="G975" s="152"/>
      <c r="H975" s="152"/>
      <c r="I975" s="143"/>
      <c r="J975" s="143"/>
      <c r="K975" s="143"/>
      <c r="L975" s="143"/>
      <c r="M975" s="143"/>
      <c r="N975" s="143"/>
      <c r="O975" s="143"/>
      <c r="P975" s="143"/>
      <c r="Q975" s="143"/>
      <c r="R975" s="143"/>
      <c r="S975" s="143"/>
      <c r="T975" s="143"/>
      <c r="U975" s="143"/>
      <c r="V975" s="143"/>
      <c r="W975" s="143"/>
      <c r="X975" s="143"/>
      <c r="Y975" s="143"/>
      <c r="Z975" s="143"/>
    </row>
    <row r="976" spans="1:26" ht="24.75">
      <c r="A976" s="143"/>
      <c r="B976" s="140"/>
      <c r="C976" s="141"/>
      <c r="D976" s="153"/>
      <c r="E976" s="142"/>
      <c r="F976" s="143"/>
      <c r="G976" s="150"/>
      <c r="H976" s="150"/>
      <c r="I976" s="143"/>
      <c r="J976" s="143"/>
      <c r="K976" s="143"/>
      <c r="L976" s="143"/>
      <c r="M976" s="143"/>
      <c r="N976" s="143"/>
      <c r="O976" s="143"/>
      <c r="P976" s="143"/>
      <c r="Q976" s="143"/>
      <c r="R976" s="143"/>
      <c r="S976" s="143"/>
      <c r="T976" s="143"/>
      <c r="U976" s="143"/>
      <c r="V976" s="143"/>
      <c r="W976" s="143"/>
      <c r="X976" s="143"/>
      <c r="Y976" s="143"/>
      <c r="Z976" s="143"/>
    </row>
    <row r="977" spans="1:26" ht="24.75">
      <c r="A977" s="143"/>
      <c r="B977" s="140"/>
      <c r="C977" s="141"/>
      <c r="D977" s="153"/>
      <c r="E977" s="142"/>
      <c r="F977" s="143"/>
      <c r="G977" s="152"/>
      <c r="H977" s="152"/>
      <c r="I977" s="143"/>
      <c r="J977" s="143"/>
      <c r="K977" s="143"/>
      <c r="L977" s="143"/>
      <c r="M977" s="143"/>
      <c r="N977" s="143"/>
      <c r="O977" s="143"/>
      <c r="P977" s="143"/>
      <c r="Q977" s="143"/>
      <c r="R977" s="143"/>
      <c r="S977" s="143"/>
      <c r="T977" s="143"/>
      <c r="U977" s="143"/>
      <c r="V977" s="143"/>
      <c r="W977" s="143"/>
      <c r="X977" s="143"/>
      <c r="Y977" s="143"/>
      <c r="Z977" s="143"/>
    </row>
    <row r="978" spans="1:26" ht="24.75">
      <c r="A978" s="143"/>
      <c r="B978" s="140"/>
      <c r="C978" s="141"/>
      <c r="D978" s="153"/>
      <c r="E978" s="142"/>
      <c r="F978" s="143"/>
      <c r="G978" s="150"/>
      <c r="H978" s="150"/>
      <c r="I978" s="143"/>
      <c r="J978" s="143"/>
      <c r="K978" s="143"/>
      <c r="L978" s="143"/>
      <c r="M978" s="143"/>
      <c r="N978" s="143"/>
      <c r="O978" s="143"/>
      <c r="P978" s="143"/>
      <c r="Q978" s="143"/>
      <c r="R978" s="143"/>
      <c r="S978" s="143"/>
      <c r="T978" s="143"/>
      <c r="U978" s="143"/>
      <c r="V978" s="143"/>
      <c r="W978" s="143"/>
      <c r="X978" s="143"/>
      <c r="Y978" s="143"/>
      <c r="Z978" s="143"/>
    </row>
    <row r="979" spans="1:26" ht="24.75">
      <c r="A979" s="143"/>
      <c r="B979" s="140"/>
      <c r="C979" s="141"/>
      <c r="D979" s="153"/>
      <c r="E979" s="142"/>
      <c r="F979" s="143"/>
      <c r="G979" s="152"/>
      <c r="H979" s="152"/>
      <c r="I979" s="143"/>
      <c r="J979" s="143"/>
      <c r="K979" s="143"/>
      <c r="L979" s="143"/>
      <c r="M979" s="143"/>
      <c r="N979" s="143"/>
      <c r="O979" s="143"/>
      <c r="P979" s="143"/>
      <c r="Q979" s="143"/>
      <c r="R979" s="143"/>
      <c r="S979" s="143"/>
      <c r="T979" s="143"/>
      <c r="U979" s="143"/>
      <c r="V979" s="143"/>
      <c r="W979" s="143"/>
      <c r="X979" s="143"/>
      <c r="Y979" s="143"/>
      <c r="Z979" s="143"/>
    </row>
    <row r="980" spans="1:26" ht="24.75">
      <c r="A980" s="143"/>
      <c r="B980" s="140"/>
      <c r="C980" s="141"/>
      <c r="D980" s="153"/>
      <c r="E980" s="142"/>
      <c r="F980" s="143"/>
      <c r="G980" s="150"/>
      <c r="H980" s="150"/>
      <c r="I980" s="143"/>
      <c r="J980" s="143"/>
      <c r="K980" s="143"/>
      <c r="L980" s="143"/>
      <c r="M980" s="143"/>
      <c r="N980" s="143"/>
      <c r="O980" s="143"/>
      <c r="P980" s="143"/>
      <c r="Q980" s="143"/>
      <c r="R980" s="143"/>
      <c r="S980" s="143"/>
      <c r="T980" s="143"/>
      <c r="U980" s="143"/>
      <c r="V980" s="143"/>
      <c r="W980" s="143"/>
      <c r="X980" s="143"/>
      <c r="Y980" s="143"/>
      <c r="Z980" s="143"/>
    </row>
    <row r="981" spans="1:26" ht="24.75">
      <c r="A981" s="143"/>
      <c r="B981" s="140"/>
      <c r="C981" s="141"/>
      <c r="D981" s="153"/>
      <c r="E981" s="142"/>
      <c r="F981" s="143"/>
      <c r="G981" s="152"/>
      <c r="H981" s="152"/>
      <c r="I981" s="143"/>
      <c r="J981" s="143"/>
      <c r="K981" s="143"/>
      <c r="L981" s="143"/>
      <c r="M981" s="143"/>
      <c r="N981" s="143"/>
      <c r="O981" s="143"/>
      <c r="P981" s="143"/>
      <c r="Q981" s="143"/>
      <c r="R981" s="143"/>
      <c r="S981" s="143"/>
      <c r="T981" s="143"/>
      <c r="U981" s="143"/>
      <c r="V981" s="143"/>
      <c r="W981" s="143"/>
      <c r="X981" s="143"/>
      <c r="Y981" s="143"/>
      <c r="Z981" s="143"/>
    </row>
    <row r="982" spans="1:26" ht="24.75">
      <c r="A982" s="143"/>
      <c r="B982" s="140"/>
      <c r="C982" s="141"/>
      <c r="D982" s="153"/>
      <c r="E982" s="142"/>
      <c r="F982" s="143"/>
      <c r="G982" s="150"/>
      <c r="H982" s="150"/>
      <c r="I982" s="143"/>
      <c r="J982" s="143"/>
      <c r="K982" s="143"/>
      <c r="L982" s="143"/>
      <c r="M982" s="143"/>
      <c r="N982" s="143"/>
      <c r="O982" s="143"/>
      <c r="P982" s="143"/>
      <c r="Q982" s="143"/>
      <c r="R982" s="143"/>
      <c r="S982" s="143"/>
      <c r="T982" s="143"/>
      <c r="U982" s="143"/>
      <c r="V982" s="143"/>
      <c r="W982" s="143"/>
      <c r="X982" s="143"/>
      <c r="Y982" s="143"/>
      <c r="Z982" s="143"/>
    </row>
    <row r="983" spans="1:26" ht="24.75">
      <c r="A983" s="143"/>
      <c r="B983" s="140"/>
      <c r="C983" s="141"/>
      <c r="D983" s="153"/>
      <c r="E983" s="142"/>
      <c r="F983" s="143"/>
      <c r="G983" s="152"/>
      <c r="H983" s="152"/>
      <c r="I983" s="143"/>
      <c r="J983" s="143"/>
      <c r="K983" s="143"/>
      <c r="L983" s="143"/>
      <c r="M983" s="143"/>
      <c r="N983" s="143"/>
      <c r="O983" s="143"/>
      <c r="P983" s="143"/>
      <c r="Q983" s="143"/>
      <c r="R983" s="143"/>
      <c r="S983" s="143"/>
      <c r="T983" s="143"/>
      <c r="U983" s="143"/>
      <c r="V983" s="143"/>
      <c r="W983" s="143"/>
      <c r="X983" s="143"/>
      <c r="Y983" s="143"/>
      <c r="Z983" s="143"/>
    </row>
    <row r="984" spans="1:26" ht="24.75">
      <c r="A984" s="143"/>
      <c r="B984" s="140"/>
      <c r="C984" s="141"/>
      <c r="D984" s="153"/>
      <c r="E984" s="142"/>
      <c r="F984" s="143"/>
      <c r="G984" s="150"/>
      <c r="H984" s="150"/>
      <c r="I984" s="143"/>
      <c r="J984" s="143"/>
      <c r="K984" s="143"/>
      <c r="L984" s="143"/>
      <c r="M984" s="143"/>
      <c r="N984" s="143"/>
      <c r="O984" s="143"/>
      <c r="P984" s="143"/>
      <c r="Q984" s="143"/>
      <c r="R984" s="143"/>
      <c r="S984" s="143"/>
      <c r="T984" s="143"/>
      <c r="U984" s="143"/>
      <c r="V984" s="143"/>
      <c r="W984" s="143"/>
      <c r="X984" s="143"/>
      <c r="Y984" s="143"/>
      <c r="Z984" s="143"/>
    </row>
    <row r="985" spans="1:26" ht="24.75">
      <c r="A985" s="143"/>
      <c r="B985" s="140"/>
      <c r="C985" s="141"/>
      <c r="D985" s="153"/>
      <c r="E985" s="142"/>
      <c r="F985" s="143"/>
      <c r="G985" s="152"/>
      <c r="H985" s="152"/>
      <c r="I985" s="143"/>
      <c r="J985" s="143"/>
      <c r="K985" s="143"/>
      <c r="L985" s="143"/>
      <c r="M985" s="143"/>
      <c r="N985" s="143"/>
      <c r="O985" s="143"/>
      <c r="P985" s="143"/>
      <c r="Q985" s="143"/>
      <c r="R985" s="143"/>
      <c r="S985" s="143"/>
      <c r="T985" s="143"/>
      <c r="U985" s="143"/>
      <c r="V985" s="143"/>
      <c r="W985" s="143"/>
      <c r="X985" s="143"/>
      <c r="Y985" s="143"/>
      <c r="Z985" s="143"/>
    </row>
    <row r="986" spans="1:26" ht="24.75">
      <c r="A986" s="143"/>
      <c r="B986" s="140"/>
      <c r="C986" s="141"/>
      <c r="D986" s="153"/>
      <c r="E986" s="142"/>
      <c r="F986" s="143"/>
      <c r="G986" s="150"/>
      <c r="H986" s="150"/>
      <c r="I986" s="143"/>
      <c r="J986" s="143"/>
      <c r="K986" s="143"/>
      <c r="L986" s="143"/>
      <c r="M986" s="143"/>
      <c r="N986" s="143"/>
      <c r="O986" s="143"/>
      <c r="P986" s="143"/>
      <c r="Q986" s="143"/>
      <c r="R986" s="143"/>
      <c r="S986" s="143"/>
      <c r="T986" s="143"/>
      <c r="U986" s="143"/>
      <c r="V986" s="143"/>
      <c r="W986" s="143"/>
      <c r="X986" s="143"/>
      <c r="Y986" s="143"/>
      <c r="Z986" s="143"/>
    </row>
    <row r="987" spans="1:26" ht="24.75">
      <c r="A987" s="143"/>
      <c r="B987" s="140"/>
      <c r="C987" s="141"/>
      <c r="D987" s="153"/>
      <c r="E987" s="142"/>
      <c r="F987" s="143"/>
      <c r="G987" s="152"/>
      <c r="H987" s="152"/>
      <c r="I987" s="143"/>
      <c r="J987" s="143"/>
      <c r="K987" s="143"/>
      <c r="L987" s="143"/>
      <c r="M987" s="143"/>
      <c r="N987" s="143"/>
      <c r="O987" s="143"/>
      <c r="P987" s="143"/>
      <c r="Q987" s="143"/>
      <c r="R987" s="143"/>
      <c r="S987" s="143"/>
      <c r="T987" s="143"/>
      <c r="U987" s="143"/>
      <c r="V987" s="143"/>
      <c r="W987" s="143"/>
      <c r="X987" s="143"/>
      <c r="Y987" s="143"/>
      <c r="Z987" s="143"/>
    </row>
    <row r="988" spans="1:26" ht="24.75">
      <c r="A988" s="143"/>
      <c r="B988" s="140"/>
      <c r="C988" s="141"/>
      <c r="D988" s="153"/>
      <c r="E988" s="142"/>
      <c r="F988" s="143"/>
      <c r="G988" s="150"/>
      <c r="H988" s="150"/>
      <c r="I988" s="143"/>
      <c r="J988" s="143"/>
      <c r="K988" s="143"/>
      <c r="L988" s="143"/>
      <c r="M988" s="143"/>
      <c r="N988" s="143"/>
      <c r="O988" s="143"/>
      <c r="P988" s="143"/>
      <c r="Q988" s="143"/>
      <c r="R988" s="143"/>
      <c r="S988" s="143"/>
      <c r="T988" s="143"/>
      <c r="U988" s="143"/>
      <c r="V988" s="143"/>
      <c r="W988" s="143"/>
      <c r="X988" s="143"/>
      <c r="Y988" s="143"/>
      <c r="Z988" s="143"/>
    </row>
    <row r="989" spans="1:26" ht="24.75">
      <c r="A989" s="143"/>
      <c r="B989" s="140"/>
      <c r="C989" s="141"/>
      <c r="D989" s="153"/>
      <c r="E989" s="142"/>
      <c r="F989" s="143"/>
      <c r="G989" s="152"/>
      <c r="H989" s="152"/>
      <c r="I989" s="143"/>
      <c r="J989" s="143"/>
      <c r="K989" s="143"/>
      <c r="L989" s="143"/>
      <c r="M989" s="143"/>
      <c r="N989" s="143"/>
      <c r="O989" s="143"/>
      <c r="P989" s="143"/>
      <c r="Q989" s="143"/>
      <c r="R989" s="143"/>
      <c r="S989" s="143"/>
      <c r="T989" s="143"/>
      <c r="U989" s="143"/>
      <c r="V989" s="143"/>
      <c r="W989" s="143"/>
      <c r="X989" s="143"/>
      <c r="Y989" s="143"/>
      <c r="Z989" s="143"/>
    </row>
    <row r="990" spans="1:26" ht="24.75">
      <c r="A990" s="143"/>
      <c r="B990" s="140"/>
      <c r="C990" s="141"/>
      <c r="D990" s="153"/>
      <c r="E990" s="142"/>
      <c r="F990" s="143"/>
      <c r="G990" s="150"/>
      <c r="H990" s="150"/>
      <c r="I990" s="143"/>
      <c r="J990" s="143"/>
      <c r="K990" s="143"/>
      <c r="L990" s="143"/>
      <c r="M990" s="143"/>
      <c r="N990" s="143"/>
      <c r="O990" s="143"/>
      <c r="P990" s="143"/>
      <c r="Q990" s="143"/>
      <c r="R990" s="143"/>
      <c r="S990" s="143"/>
      <c r="T990" s="143"/>
      <c r="U990" s="143"/>
      <c r="V990" s="143"/>
      <c r="W990" s="143"/>
      <c r="X990" s="143"/>
      <c r="Y990" s="143"/>
      <c r="Z990" s="143"/>
    </row>
    <row r="991" spans="1:26" ht="24.75">
      <c r="A991" s="143"/>
      <c r="B991" s="140"/>
      <c r="C991" s="141"/>
      <c r="D991" s="153"/>
      <c r="E991" s="142"/>
      <c r="F991" s="143"/>
      <c r="G991" s="152"/>
      <c r="H991" s="152"/>
      <c r="I991" s="143"/>
      <c r="J991" s="143"/>
      <c r="K991" s="143"/>
      <c r="L991" s="143"/>
      <c r="M991" s="143"/>
      <c r="N991" s="143"/>
      <c r="O991" s="143"/>
      <c r="P991" s="143"/>
      <c r="Q991" s="143"/>
      <c r="R991" s="143"/>
      <c r="S991" s="143"/>
      <c r="T991" s="143"/>
      <c r="U991" s="143"/>
      <c r="V991" s="143"/>
      <c r="W991" s="143"/>
      <c r="X991" s="143"/>
      <c r="Y991" s="143"/>
      <c r="Z991" s="143"/>
    </row>
    <row r="992" spans="1:26" ht="24.75">
      <c r="A992" s="143"/>
      <c r="B992" s="140"/>
      <c r="C992" s="141"/>
      <c r="D992" s="153"/>
      <c r="E992" s="142"/>
      <c r="F992" s="143"/>
      <c r="G992" s="150"/>
      <c r="H992" s="150"/>
      <c r="I992" s="143"/>
      <c r="J992" s="143"/>
      <c r="K992" s="143"/>
      <c r="L992" s="143"/>
      <c r="M992" s="143"/>
      <c r="N992" s="143"/>
      <c r="O992" s="143"/>
      <c r="P992" s="143"/>
      <c r="Q992" s="143"/>
      <c r="R992" s="143"/>
      <c r="S992" s="143"/>
      <c r="T992" s="143"/>
      <c r="U992" s="143"/>
      <c r="V992" s="143"/>
      <c r="W992" s="143"/>
      <c r="X992" s="143"/>
      <c r="Y992" s="143"/>
      <c r="Z992" s="143"/>
    </row>
    <row r="993" spans="1:26" ht="24.75">
      <c r="A993" s="143"/>
      <c r="B993" s="140"/>
      <c r="C993" s="141"/>
      <c r="D993" s="153"/>
      <c r="E993" s="142"/>
      <c r="F993" s="143"/>
      <c r="G993" s="152"/>
      <c r="H993" s="152"/>
      <c r="I993" s="143"/>
      <c r="J993" s="143"/>
      <c r="K993" s="143"/>
      <c r="L993" s="143"/>
      <c r="M993" s="143"/>
      <c r="N993" s="143"/>
      <c r="O993" s="143"/>
      <c r="P993" s="143"/>
      <c r="Q993" s="143"/>
      <c r="R993" s="143"/>
      <c r="S993" s="143"/>
      <c r="T993" s="143"/>
      <c r="U993" s="143"/>
      <c r="V993" s="143"/>
      <c r="W993" s="143"/>
      <c r="X993" s="143"/>
      <c r="Y993" s="143"/>
      <c r="Z993" s="143"/>
    </row>
    <row r="994" spans="1:26" ht="24.75">
      <c r="A994" s="143"/>
      <c r="B994" s="140"/>
      <c r="C994" s="141"/>
      <c r="D994" s="153"/>
      <c r="E994" s="142"/>
      <c r="F994" s="143"/>
      <c r="G994" s="150"/>
      <c r="H994" s="150"/>
      <c r="I994" s="143"/>
      <c r="J994" s="143"/>
      <c r="K994" s="143"/>
      <c r="L994" s="143"/>
      <c r="M994" s="143"/>
      <c r="N994" s="143"/>
      <c r="O994" s="143"/>
      <c r="P994" s="143"/>
      <c r="Q994" s="143"/>
      <c r="R994" s="143"/>
      <c r="S994" s="143"/>
      <c r="T994" s="143"/>
      <c r="U994" s="143"/>
      <c r="V994" s="143"/>
      <c r="W994" s="143"/>
      <c r="X994" s="143"/>
      <c r="Y994" s="143"/>
      <c r="Z994" s="143"/>
    </row>
    <row r="995" spans="1:26" ht="24.75">
      <c r="A995" s="143"/>
      <c r="B995" s="140"/>
      <c r="C995" s="141"/>
      <c r="D995" s="153"/>
      <c r="E995" s="142"/>
      <c r="F995" s="143"/>
      <c r="G995" s="152"/>
      <c r="H995" s="152"/>
      <c r="I995" s="143"/>
      <c r="J995" s="143"/>
      <c r="K995" s="143"/>
      <c r="L995" s="143"/>
      <c r="M995" s="143"/>
      <c r="N995" s="143"/>
      <c r="O995" s="143"/>
      <c r="P995" s="143"/>
      <c r="Q995" s="143"/>
      <c r="R995" s="143"/>
      <c r="S995" s="143"/>
      <c r="T995" s="143"/>
      <c r="U995" s="143"/>
      <c r="V995" s="143"/>
      <c r="W995" s="143"/>
      <c r="X995" s="143"/>
      <c r="Y995" s="143"/>
      <c r="Z995" s="143"/>
    </row>
    <row r="996" spans="1:26" ht="24.75">
      <c r="A996" s="143"/>
      <c r="B996" s="140"/>
      <c r="C996" s="141"/>
      <c r="D996" s="153"/>
      <c r="E996" s="142"/>
      <c r="F996" s="143"/>
      <c r="G996" s="150"/>
      <c r="H996" s="150"/>
      <c r="I996" s="143"/>
      <c r="J996" s="143"/>
      <c r="K996" s="143"/>
      <c r="L996" s="143"/>
      <c r="M996" s="143"/>
      <c r="N996" s="143"/>
      <c r="O996" s="143"/>
      <c r="P996" s="143"/>
      <c r="Q996" s="143"/>
      <c r="R996" s="143"/>
      <c r="S996" s="143"/>
      <c r="T996" s="143"/>
      <c r="U996" s="143"/>
      <c r="V996" s="143"/>
      <c r="W996" s="143"/>
      <c r="X996" s="143"/>
      <c r="Y996" s="143"/>
      <c r="Z996" s="143"/>
    </row>
    <row r="997" spans="1:26" ht="24.75">
      <c r="A997" s="143"/>
      <c r="B997" s="140"/>
      <c r="C997" s="141"/>
      <c r="D997" s="153"/>
      <c r="E997" s="142"/>
      <c r="F997" s="143"/>
      <c r="G997" s="152"/>
      <c r="H997" s="152"/>
      <c r="I997" s="143"/>
      <c r="J997" s="143"/>
      <c r="K997" s="143"/>
      <c r="L997" s="143"/>
      <c r="M997" s="143"/>
      <c r="N997" s="143"/>
      <c r="O997" s="143"/>
      <c r="P997" s="143"/>
      <c r="Q997" s="143"/>
      <c r="R997" s="143"/>
      <c r="S997" s="143"/>
      <c r="T997" s="143"/>
      <c r="U997" s="143"/>
      <c r="V997" s="143"/>
      <c r="W997" s="143"/>
      <c r="X997" s="143"/>
      <c r="Y997" s="143"/>
      <c r="Z997" s="143"/>
    </row>
    <row r="998" spans="1:26" ht="24.75">
      <c r="A998" s="143"/>
      <c r="B998" s="140"/>
      <c r="C998" s="141"/>
      <c r="D998" s="153"/>
      <c r="E998" s="142"/>
      <c r="F998" s="143"/>
      <c r="G998" s="150"/>
      <c r="H998" s="150"/>
      <c r="I998" s="143"/>
      <c r="J998" s="143"/>
      <c r="K998" s="143"/>
      <c r="L998" s="143"/>
      <c r="M998" s="143"/>
      <c r="N998" s="143"/>
      <c r="O998" s="143"/>
      <c r="P998" s="143"/>
      <c r="Q998" s="143"/>
      <c r="R998" s="143"/>
      <c r="S998" s="143"/>
      <c r="T998" s="143"/>
      <c r="U998" s="143"/>
      <c r="V998" s="143"/>
      <c r="W998" s="143"/>
      <c r="X998" s="143"/>
      <c r="Y998" s="143"/>
      <c r="Z998" s="143"/>
    </row>
    <row r="999" spans="1:26" ht="24.75">
      <c r="A999" s="143"/>
      <c r="B999" s="140"/>
      <c r="C999" s="141"/>
      <c r="D999" s="153"/>
      <c r="E999" s="142"/>
      <c r="F999" s="143"/>
      <c r="G999" s="152"/>
      <c r="H999" s="152"/>
      <c r="I999" s="143"/>
      <c r="J999" s="143"/>
      <c r="K999" s="143"/>
      <c r="L999" s="143"/>
      <c r="M999" s="143"/>
      <c r="N999" s="143"/>
      <c r="O999" s="143"/>
      <c r="P999" s="143"/>
      <c r="Q999" s="143"/>
      <c r="R999" s="143"/>
      <c r="S999" s="143"/>
      <c r="T999" s="143"/>
      <c r="U999" s="143"/>
      <c r="V999" s="143"/>
      <c r="W999" s="143"/>
      <c r="X999" s="143"/>
      <c r="Y999" s="143"/>
      <c r="Z999" s="143"/>
    </row>
    <row r="1000" spans="1:26" ht="24.75">
      <c r="A1000" s="143"/>
      <c r="B1000" s="140"/>
      <c r="C1000" s="141"/>
      <c r="D1000" s="153"/>
      <c r="E1000" s="142"/>
      <c r="F1000" s="143"/>
      <c r="G1000" s="150"/>
      <c r="H1000" s="150"/>
      <c r="I1000" s="143"/>
      <c r="J1000" s="143"/>
      <c r="K1000" s="143"/>
      <c r="L1000" s="143"/>
      <c r="M1000" s="143"/>
      <c r="N1000" s="143"/>
      <c r="O1000" s="143"/>
      <c r="P1000" s="143"/>
      <c r="Q1000" s="143"/>
      <c r="R1000" s="143"/>
      <c r="S1000" s="143"/>
      <c r="T1000" s="143"/>
      <c r="U1000" s="143"/>
      <c r="V1000" s="143"/>
      <c r="W1000" s="143"/>
      <c r="X1000" s="143"/>
      <c r="Y1000" s="143"/>
      <c r="Z1000" s="143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MIR TRANSPARENCIA</vt:lpstr>
      <vt:lpstr>SID</vt:lpstr>
      <vt:lpstr>Estático</vt:lpstr>
      <vt:lpstr>Copia de MIR 1</vt:lpstr>
      <vt:lpstr>Copia de MIR</vt:lpstr>
      <vt:lpstr>Subida</vt:lpstr>
      <vt:lpstr>finproposito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Flores Uribe</dc:creator>
  <cp:lastModifiedBy>Jorge Flores Uribe</cp:lastModifiedBy>
  <dcterms:created xsi:type="dcterms:W3CDTF">2024-01-08T22:50:43Z</dcterms:created>
  <dcterms:modified xsi:type="dcterms:W3CDTF">2024-01-09T21:22:29Z</dcterms:modified>
</cp:coreProperties>
</file>